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228/datos/"/>
    </mc:Choice>
  </mc:AlternateContent>
  <xr:revisionPtr revIDLastSave="4696" documentId="14_{D2070067-4F8D-4110-B6E6-2A153CB906F3}" xr6:coauthVersionLast="47" xr6:coauthVersionMax="47" xr10:uidLastSave="{8FAC4A05-3695-41A8-B438-4D2D7F3D1721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Buques!$B$1:$H$22</definedName>
    <definedName name="_xlnm.Print_Area" localSheetId="5">'esp x destino'!$B$1:$J$61</definedName>
    <definedName name="_xlnm.Print_Area" localSheetId="4">'especies y destinos'!$B$1:$I$59</definedName>
    <definedName name="_xlnm.Print_Area" localSheetId="0">Principal!$A$1:$G$58</definedName>
    <definedName name="Excel_BuiltIn__FilterDatabase" localSheetId="1">Buques!$B$13:$H$22</definedName>
    <definedName name="Excel_BuiltIn__FilterDatabase" localSheetId="2">exportadores!$B$13:$E$55</definedName>
    <definedName name="Excel_BuiltIn__FilterDatabase" localSheetId="3">'peras &amp; manzanas'!$B$13:$E$41</definedName>
    <definedName name="Excel_BuiltIn__FilterDatabase_2">Buques!$B$13:$H$22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destino'!$B$15:$J$61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destinos'!$30:$31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G57" i="5"/>
  <c r="F57" i="5"/>
  <c r="G18" i="2" l="1"/>
  <c r="F18" i="2" l="1"/>
  <c r="E18" i="2"/>
  <c r="J59" i="6"/>
  <c r="J18" i="6"/>
  <c r="J17" i="6"/>
  <c r="J16" i="6"/>
  <c r="J19" i="6"/>
  <c r="J20" i="6"/>
  <c r="J22" i="6"/>
  <c r="J23" i="6"/>
  <c r="J24" i="6"/>
  <c r="J27" i="6"/>
  <c r="J29" i="6"/>
  <c r="J30" i="6"/>
  <c r="J31" i="6"/>
  <c r="J32" i="6"/>
  <c r="J33" i="6"/>
  <c r="J34" i="6"/>
  <c r="J36" i="6"/>
  <c r="J38" i="6"/>
  <c r="J39" i="6"/>
  <c r="J40" i="6"/>
  <c r="J41" i="6"/>
  <c r="J43" i="6"/>
  <c r="J44" i="6"/>
  <c r="J45" i="6"/>
  <c r="J46" i="6"/>
  <c r="J47" i="6"/>
  <c r="J48" i="6"/>
  <c r="J49" i="6"/>
  <c r="J50" i="6"/>
  <c r="J51" i="6"/>
  <c r="J52" i="6"/>
  <c r="J53" i="6"/>
  <c r="J54" i="6"/>
  <c r="J56" i="6"/>
  <c r="I32" i="5"/>
  <c r="I33" i="5"/>
  <c r="I34" i="5"/>
  <c r="I37" i="5"/>
  <c r="I39" i="5"/>
  <c r="I40" i="5"/>
  <c r="I41" i="5"/>
  <c r="I42" i="5"/>
  <c r="I44" i="5"/>
  <c r="I45" i="5"/>
  <c r="I46" i="5"/>
  <c r="I47" i="5"/>
  <c r="I49" i="5"/>
  <c r="I50" i="5"/>
  <c r="I51" i="5"/>
  <c r="I52" i="5"/>
  <c r="I53" i="5"/>
  <c r="I54" i="5"/>
  <c r="I56" i="5"/>
  <c r="I57" i="5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H27" i="5"/>
  <c r="G27" i="5"/>
  <c r="F27" i="5"/>
  <c r="E27" i="5"/>
  <c r="D27" i="5"/>
  <c r="C27" i="5"/>
  <c r="I26" i="5"/>
  <c r="I25" i="5"/>
  <c r="I24" i="5"/>
  <c r="I21" i="5"/>
  <c r="I20" i="5"/>
  <c r="I19" i="5"/>
  <c r="I18" i="5"/>
  <c r="I15" i="5"/>
  <c r="I14" i="5"/>
  <c r="I22" i="5"/>
  <c r="F15" i="7"/>
  <c r="C42" i="7"/>
  <c r="E42" i="7"/>
  <c r="D42" i="7"/>
  <c r="C56" i="3"/>
  <c r="E56" i="3"/>
  <c r="F17" i="3" s="1"/>
  <c r="D56" i="3"/>
  <c r="G22" i="2"/>
  <c r="F22" i="2"/>
  <c r="E22" i="2"/>
  <c r="I27" i="5" l="1"/>
  <c r="I28" i="5"/>
  <c r="F16" i="3"/>
  <c r="F15" i="3"/>
  <c r="F52" i="3"/>
  <c r="F48" i="3"/>
  <c r="F44" i="3"/>
  <c r="F40" i="3"/>
  <c r="F36" i="3"/>
  <c r="F32" i="3"/>
  <c r="F28" i="3"/>
  <c r="F24" i="3"/>
  <c r="F20" i="3"/>
  <c r="F55" i="3"/>
  <c r="F51" i="3"/>
  <c r="F47" i="3"/>
  <c r="F43" i="3"/>
  <c r="F39" i="3"/>
  <c r="F35" i="3"/>
  <c r="F31" i="3"/>
  <c r="F27" i="3"/>
  <c r="F23" i="3"/>
  <c r="F18" i="3"/>
  <c r="F54" i="3"/>
  <c r="F50" i="3"/>
  <c r="F46" i="3"/>
  <c r="F42" i="3"/>
  <c r="F38" i="3"/>
  <c r="F34" i="3"/>
  <c r="F30" i="3"/>
  <c r="F26" i="3"/>
  <c r="F22" i="3"/>
  <c r="F53" i="3"/>
  <c r="F49" i="3"/>
  <c r="F45" i="3"/>
  <c r="F41" i="3"/>
  <c r="F37" i="3"/>
  <c r="F33" i="3"/>
  <c r="F29" i="3"/>
  <c r="F25" i="3"/>
  <c r="F21" i="3"/>
  <c r="F14" i="3" l="1"/>
  <c r="F19" i="3" l="1"/>
  <c r="F56" i="3" s="1"/>
  <c r="H58" i="5"/>
  <c r="G58" i="5"/>
  <c r="F58" i="5"/>
  <c r="E58" i="5"/>
  <c r="D58" i="5"/>
  <c r="C58" i="5"/>
  <c r="I59" i="5" l="1"/>
  <c r="I58" i="5"/>
  <c r="I60" i="6"/>
  <c r="D11" i="7" l="1"/>
  <c r="F11" i="2"/>
  <c r="F14" i="7" l="1"/>
  <c r="F42" i="7" s="1"/>
  <c r="H60" i="6" l="1"/>
  <c r="G60" i="6"/>
  <c r="F60" i="6"/>
  <c r="J60" i="6" s="1"/>
  <c r="E60" i="6"/>
  <c r="D60" i="6"/>
  <c r="G11" i="6"/>
  <c r="F10" i="5"/>
  <c r="D11" i="3"/>
  <c r="J61" i="6" l="1"/>
</calcChain>
</file>

<file path=xl/sharedStrings.xml><?xml version="1.0" encoding="utf-8"?>
<sst xmlns="http://schemas.openxmlformats.org/spreadsheetml/2006/main" count="297" uniqueCount="124">
  <si>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</si>
  <si>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</si>
  <si>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</si>
  <si>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</si>
  <si>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</si>
  <si>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</si>
  <si>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</si>
  <si>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</si>
  <si>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</si>
  <si>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</si>
  <si>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</si>
  <si>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</si>
  <si>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</si>
  <si>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</si>
  <si>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</si>
  <si>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</si>
  <si>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</si>
  <si>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</si>
  <si>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</si>
  <si>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</si>
  <si>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</si>
  <si>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</si>
  <si>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</si>
  <si>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</si>
  <si>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</si>
  <si>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</si>
  <si>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</si>
  <si>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</si>
  <si>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</si>
  <si>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</si>
  <si>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</si>
  <si>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</si>
  <si>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</si>
  <si>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</si>
  <si>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</si>
  <si>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</si>
  <si>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</si>
  <si>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>---%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</si>
  <si>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28/02/2025</t>
    </r>
  </si>
  <si>
    <t xml:space="preserve">WILD COSMOS         </t>
  </si>
  <si>
    <t>SAE</t>
  </si>
  <si>
    <t>HUANGHAI STRUGGLE</t>
  </si>
  <si>
    <t xml:space="preserve">BALTIC HEATHER      </t>
  </si>
  <si>
    <t xml:space="preserve">AS SAMANTA W507    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</si>
  <si>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</si>
  <si>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</si>
  <si>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</si>
  <si>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</si>
  <si>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</si>
  <si>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</si>
  <si>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</si>
  <si>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</si>
  <si>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</si>
  <si>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</si>
  <si>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</si>
  <si>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</si>
  <si>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</si>
  <si>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</si>
  <si>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</si>
  <si>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</si>
  <si>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</si>
  <si>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</si>
  <si>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</si>
  <si>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</si>
  <si>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</si>
  <si>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</si>
  <si>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</si>
  <si>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</si>
  <si>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</si>
  <si>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</si>
  <si>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</si>
  <si>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</si>
  <si>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</si>
  <si>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</si>
  <si>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</si>
  <si>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</si>
  <si>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</si>
  <si>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</si>
  <si>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</si>
  <si>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</si>
  <si>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</si>
  <si>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</si>
  <si>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</si>
  <si>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>CARNE</t>
  </si>
  <si>
    <t>PESCADO</t>
  </si>
  <si>
    <t>GRECIA</t>
  </si>
  <si>
    <t>CIRUELA</t>
  </si>
  <si>
    <t>LANGOSTINO</t>
  </si>
  <si>
    <t>MANZANA</t>
  </si>
  <si>
    <t>NECTARIN</t>
  </si>
  <si>
    <t>PERA</t>
  </si>
  <si>
    <t>PLIC.DE VIN</t>
  </si>
  <si>
    <t>POLIETILENO</t>
  </si>
  <si>
    <t>SODA CAUST</t>
  </si>
  <si>
    <t>UVA</t>
  </si>
  <si>
    <t>ALEMANIA</t>
  </si>
  <si>
    <t>BRASIL</t>
  </si>
  <si>
    <t>CANADA</t>
  </si>
  <si>
    <t>CHILE</t>
  </si>
  <si>
    <t>COSTA DE MARFIL</t>
  </si>
  <si>
    <t>EGIPTO</t>
  </si>
  <si>
    <t>EMIRATOS ARABES</t>
  </si>
  <si>
    <t>ESPAÑA</t>
  </si>
  <si>
    <t>FRANCIA</t>
  </si>
  <si>
    <t>HOLANDA</t>
  </si>
  <si>
    <t>INDIA</t>
  </si>
  <si>
    <t>INGLATERRA</t>
  </si>
  <si>
    <t>IRLANDA</t>
  </si>
  <si>
    <t>ISRAEL</t>
  </si>
  <si>
    <t>ITALIA</t>
  </si>
  <si>
    <t>MALTA</t>
  </si>
  <si>
    <t>MARRUECOS</t>
  </si>
  <si>
    <t>NORUEGA</t>
  </si>
  <si>
    <t>PERU</t>
  </si>
  <si>
    <t>PORTUGAL</t>
  </si>
  <si>
    <t>REP.DOMINICANA</t>
  </si>
  <si>
    <t>RUSIA</t>
  </si>
  <si>
    <t>SENEGAL</t>
  </si>
  <si>
    <t>SUECIA</t>
  </si>
  <si>
    <t>U.S.A.</t>
  </si>
  <si>
    <t>ALBANIA</t>
  </si>
  <si>
    <t xml:space="preserve">NATURAL JUICE S.A.  </t>
  </si>
  <si>
    <t xml:space="preserve">J.C.MANZ            </t>
  </si>
  <si>
    <t xml:space="preserve">J.C.PERA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</si>
</sst>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  <numFmt numFmtId="173" formatCode="dd/mm/yyyy;@"/>
  </numFmts>
  <fonts count="5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b/>
      <sz val="9"/>
      <name val="Consolas"/>
      <family val="3"/>
    </font>
    <font>
      <sz val="9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6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9" fillId="0" borderId="0" xfId="2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8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9" fontId="33" fillId="0" borderId="1" xfId="0" applyNumberFormat="1" applyFont="1" applyBorder="1" applyAlignment="1">
      <alignment horizontal="right"/>
    </xf>
    <xf numFmtId="170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170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8" fontId="36" fillId="2" borderId="2" xfId="1" applyNumberFormat="1" applyFont="1" applyFill="1" applyBorder="1" applyAlignment="1">
      <alignment vertical="center"/>
    </xf>
    <xf numFmtId="169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9" fontId="49" fillId="0" borderId="0" xfId="2" applyNumberFormat="1" applyFont="1" applyBorder="1" applyAlignment="1">
      <alignment vertical="center"/>
    </xf>
    <xf numFmtId="169" fontId="41" fillId="3" borderId="0" xfId="2" applyNumberFormat="1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173" fontId="39" fillId="0" borderId="0" xfId="0" applyNumberFormat="1" applyFont="1" applyAlignment="1">
      <alignment horizontal="right" vertical="center"/>
    </xf>
    <xf numFmtId="165" fontId="50" fillId="2" borderId="2" xfId="2" applyFont="1" applyFill="1" applyBorder="1" applyAlignment="1">
      <alignment vertical="center"/>
    </xf>
    <xf numFmtId="168" fontId="50" fillId="2" borderId="2" xfId="1" applyNumberFormat="1" applyFont="1" applyFill="1" applyBorder="1" applyAlignment="1">
      <alignment vertical="center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3">
    <dxf>
      <numFmt numFmtId="169" formatCode="0.00\ 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9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22" totalsRowShown="0" headerRowDxfId="22" headerRowBorderDxfId="21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55" totalsRowShown="0" headerRowDxfId="20" headerRowBorderDxfId="19" tableBorderDxfId="18">
  <sortState xmlns:xlrd2="http://schemas.microsoft.com/office/spreadsheetml/2017/richdata2" ref="B14:F55">
    <sortCondition descending="1" ref="E14:E55"/>
  </sortState>
  <tableColumns count="5">
    <tableColumn id="1" xr3:uid="{082DB1A4-704C-4876-A37C-6556C444F4A9}" name="EXPORTADOR"/>
    <tableColumn id="2" xr3:uid="{16EA7C7E-EF6F-434B-B25F-C6D21DCABC33}" name="PALLETS" dataDxfId="17"/>
    <tableColumn id="3" xr3:uid="{630943C9-559D-4C97-8E91-980BAB9C73F9}" name="BULTOS" dataDxfId="16"/>
    <tableColumn id="4" xr3:uid="{1379AAF0-909F-48F7-9752-DB3FFF8C3689}" name="TONELADAS" dataDxfId="15"/>
    <tableColumn id="5" xr3:uid="{84BD5338-5D08-4318-AAEE-C4592CA74C42}" name="% DIST" dataDxfId="14" dataCellStyle="Porcentaje">
      <calculatedColumnFormula>+E14/$E$56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1" totalsRowShown="0" headerRowDxfId="13" headerRowBorderDxfId="12" tableBorderDxfId="11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26" totalsRowShown="0" headerRowDxfId="10" headerRowBorderDxfId="9" tableBorderDxfId="8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31:I57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0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59" totalsRowShown="0" headerRowDxfId="4" headerRowBorderDxfId="3" tableBorderDxfId="2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1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2" t="s">
        <v>18</v>
      </c>
      <c r="B11" s="82"/>
      <c r="C11" s="82"/>
      <c r="D11" s="82"/>
      <c r="E11" s="82"/>
      <c r="F11" s="82"/>
      <c r="G11" s="82"/>
      <c r="H11" s="82"/>
    </row>
    <row r="13" spans="1:8" ht="15.75" x14ac:dyDescent="0.25">
      <c r="C13" s="84" t="s">
        <v>38</v>
      </c>
      <c r="D13" s="85"/>
      <c r="E13" s="85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6" t="s">
        <v>24</v>
      </c>
      <c r="B43" s="86"/>
      <c r="C43" s="86"/>
      <c r="D43" s="86"/>
      <c r="E43" s="86"/>
      <c r="F43" s="86"/>
      <c r="G43" s="86"/>
    </row>
    <row r="44" spans="1:10" x14ac:dyDescent="0.2">
      <c r="A44" s="83" t="s">
        <v>1</v>
      </c>
      <c r="B44" s="83"/>
      <c r="C44" s="83"/>
      <c r="D44" s="83"/>
      <c r="E44" s="83"/>
      <c r="F44" s="83"/>
      <c r="G44" s="83"/>
    </row>
    <row r="45" spans="1:10" x14ac:dyDescent="0.2">
      <c r="A45" s="83" t="s">
        <v>2</v>
      </c>
      <c r="B45" s="83"/>
      <c r="C45" s="83"/>
      <c r="D45" s="83"/>
      <c r="E45" s="83"/>
      <c r="F45" s="83"/>
      <c r="G45" s="83"/>
    </row>
    <row r="46" spans="1:10" x14ac:dyDescent="0.2">
      <c r="A46" s="83" t="s">
        <v>3</v>
      </c>
      <c r="B46" s="83"/>
      <c r="C46" s="83"/>
      <c r="D46" s="83"/>
      <c r="E46" s="83"/>
      <c r="F46" s="83"/>
      <c r="G46" s="83"/>
    </row>
    <row r="47" spans="1:10" x14ac:dyDescent="0.2">
      <c r="A47" s="83" t="s">
        <v>4</v>
      </c>
      <c r="B47" s="83"/>
      <c r="C47" s="83"/>
      <c r="D47" s="83"/>
      <c r="E47" s="83"/>
      <c r="F47" s="83"/>
      <c r="G47" s="83"/>
    </row>
    <row r="48" spans="1:10" x14ac:dyDescent="0.2">
      <c r="A48" s="83" t="s">
        <v>5</v>
      </c>
      <c r="B48" s="83"/>
      <c r="C48" s="83"/>
      <c r="D48" s="83"/>
      <c r="E48" s="83"/>
      <c r="F48" s="83"/>
      <c r="G48" s="83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29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87" t="s">
        <v>25</v>
      </c>
      <c r="C10" s="87"/>
      <c r="D10" s="87"/>
      <c r="E10" s="87"/>
      <c r="F10" s="87"/>
      <c r="G10" s="87"/>
      <c r="H10" s="87"/>
    </row>
    <row r="11" spans="2:8" x14ac:dyDescent="0.2">
      <c r="B11" s="25"/>
      <c r="C11" s="26"/>
      <c r="D11" s="26"/>
      <c r="E11" s="26"/>
      <c r="F11" s="88" t="str">
        <f>+Principal!C13</f>
        <v>datos al 28/02/2025</v>
      </c>
      <c r="G11" s="88"/>
      <c r="H11" s="88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16.5" customHeight="1" x14ac:dyDescent="0.2">
      <c r="B14" s="78">
        <v>1</v>
      </c>
      <c r="C14" s="79" t="s">
        <v>30</v>
      </c>
      <c r="D14" s="93">
        <v>45662</v>
      </c>
      <c r="E14" s="78">
        <v>1930</v>
      </c>
      <c r="F14" s="78">
        <v>16798</v>
      </c>
      <c r="G14" s="78">
        <v>2517</v>
      </c>
      <c r="H14" s="78" t="s">
        <v>34</v>
      </c>
    </row>
    <row r="15" spans="2:8" s="30" customFormat="1" ht="16.5" customHeight="1" x14ac:dyDescent="0.2">
      <c r="B15" s="78">
        <v>2</v>
      </c>
      <c r="C15" s="79" t="s">
        <v>31</v>
      </c>
      <c r="D15" s="93">
        <v>45677</v>
      </c>
      <c r="E15" s="78">
        <v>2114</v>
      </c>
      <c r="F15" s="78">
        <v>48770</v>
      </c>
      <c r="G15" s="78">
        <v>2874</v>
      </c>
      <c r="H15" s="78" t="s">
        <v>34</v>
      </c>
    </row>
    <row r="16" spans="2:8" s="30" customFormat="1" ht="16.5" customHeight="1" x14ac:dyDescent="0.2">
      <c r="B16" s="78">
        <v>3</v>
      </c>
      <c r="C16" s="79" t="s">
        <v>32</v>
      </c>
      <c r="D16" s="93">
        <v>45681</v>
      </c>
      <c r="E16" s="78">
        <v>0</v>
      </c>
      <c r="F16" s="78">
        <v>63</v>
      </c>
      <c r="G16" s="78">
        <v>2835</v>
      </c>
      <c r="H16" s="78" t="s">
        <v>34</v>
      </c>
    </row>
    <row r="17" spans="2:9" s="30" customFormat="1" ht="16.5" customHeight="1" x14ac:dyDescent="0.2">
      <c r="B17" s="78">
        <v>4</v>
      </c>
      <c r="C17" s="79" t="s">
        <v>33</v>
      </c>
      <c r="D17" s="93">
        <v>45686</v>
      </c>
      <c r="E17" s="78">
        <v>0</v>
      </c>
      <c r="F17" s="78">
        <v>5334</v>
      </c>
      <c r="G17" s="78">
        <v>7999</v>
      </c>
      <c r="H17" s="78" t="s">
        <v>34</v>
      </c>
    </row>
    <row r="18" spans="2:9" s="30" customFormat="1" ht="16.5" customHeight="1" x14ac:dyDescent="0.2">
      <c r="B18" s="78">
        <v>5</v>
      </c>
      <c r="C18" s="79" t="s">
        <v>39</v>
      </c>
      <c r="D18" s="93">
        <v>45692</v>
      </c>
      <c r="E18" s="78">
        <f>3853+1410</f>
        <v>5263</v>
      </c>
      <c r="F18" s="78">
        <f>242298+1418</f>
        <v>243716</v>
      </c>
      <c r="G18" s="78">
        <f>4409+2278</f>
        <v>6687</v>
      </c>
      <c r="H18" s="78" t="s">
        <v>40</v>
      </c>
    </row>
    <row r="19" spans="2:9" s="30" customFormat="1" ht="16.5" customHeight="1" x14ac:dyDescent="0.2">
      <c r="B19" s="78">
        <v>6</v>
      </c>
      <c r="C19" s="79" t="s">
        <v>41</v>
      </c>
      <c r="D19" s="93">
        <v>45696</v>
      </c>
      <c r="E19" s="78">
        <v>0</v>
      </c>
      <c r="F19" s="78">
        <v>129</v>
      </c>
      <c r="G19" s="78">
        <v>2020</v>
      </c>
      <c r="H19" s="78" t="s">
        <v>34</v>
      </c>
    </row>
    <row r="20" spans="2:9" s="30" customFormat="1" ht="16.5" customHeight="1" x14ac:dyDescent="0.2">
      <c r="B20" s="78">
        <v>7</v>
      </c>
      <c r="C20" s="79" t="s">
        <v>42</v>
      </c>
      <c r="D20" s="93">
        <v>45697</v>
      </c>
      <c r="E20" s="78">
        <v>5581</v>
      </c>
      <c r="F20" s="78">
        <v>460939</v>
      </c>
      <c r="G20" s="78">
        <v>6178</v>
      </c>
      <c r="H20" s="78" t="s">
        <v>40</v>
      </c>
    </row>
    <row r="21" spans="2:9" s="30" customFormat="1" ht="16.5" customHeight="1" x14ac:dyDescent="0.2">
      <c r="B21" s="78">
        <v>8</v>
      </c>
      <c r="C21" s="79" t="s">
        <v>43</v>
      </c>
      <c r="D21" s="93">
        <v>45707</v>
      </c>
      <c r="E21" s="78">
        <v>7184</v>
      </c>
      <c r="F21" s="78">
        <v>584648</v>
      </c>
      <c r="G21" s="78">
        <v>8684</v>
      </c>
      <c r="H21" s="78" t="s">
        <v>40</v>
      </c>
    </row>
    <row r="22" spans="2:9" ht="20.100000000000001" customHeight="1" x14ac:dyDescent="0.2">
      <c r="B22" s="23"/>
      <c r="C22" s="23"/>
      <c r="D22" s="37" t="s">
        <v>19</v>
      </c>
      <c r="E22" s="36">
        <f>SUBTOTAL(109,E14:E21)</f>
        <v>22072</v>
      </c>
      <c r="F22" s="36">
        <f>SUBTOTAL(109,F14:F21)</f>
        <v>1360397</v>
      </c>
      <c r="G22" s="36">
        <f>SUBTOTAL(109,G14:G21)</f>
        <v>39794</v>
      </c>
      <c r="H22" s="37"/>
    </row>
    <row r="24" spans="2:9" x14ac:dyDescent="0.2">
      <c r="E24" s="5"/>
      <c r="F24" s="5"/>
      <c r="G24" s="5"/>
    </row>
    <row r="25" spans="2:9" x14ac:dyDescent="0.2">
      <c r="E25" s="5"/>
      <c r="F25" s="5"/>
      <c r="G25" s="5"/>
    </row>
    <row r="26" spans="2:9" x14ac:dyDescent="0.2">
      <c r="F26" s="5"/>
    </row>
    <row r="27" spans="2:9" x14ac:dyDescent="0.2">
      <c r="I27" s="6"/>
    </row>
    <row r="29" spans="2:9" x14ac:dyDescent="0.2">
      <c r="G29" s="6"/>
      <c r="H29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56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7" t="s">
        <v>26</v>
      </c>
      <c r="C10" s="87"/>
      <c r="D10" s="87"/>
      <c r="E10" s="87"/>
      <c r="F10" s="87"/>
      <c r="G10" s="32"/>
      <c r="H10" s="32"/>
    </row>
    <row r="11" spans="2:17" x14ac:dyDescent="0.2">
      <c r="B11" s="2"/>
      <c r="C11" s="2"/>
      <c r="D11" s="89" t="str">
        <f>Principal!C13</f>
        <v>datos al 28/02/2025</v>
      </c>
      <c r="E11" s="89"/>
      <c r="F11" s="89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79" t="s">
        <v>35</v>
      </c>
      <c r="C14" s="78">
        <v>3036</v>
      </c>
      <c r="D14" s="78">
        <v>5088</v>
      </c>
      <c r="E14" s="78">
        <v>3873</v>
      </c>
      <c r="F14" s="80">
        <f>+E14/$E$56</f>
        <v>0.14374791225921391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79" t="s">
        <v>44</v>
      </c>
      <c r="C15" s="78">
        <v>2529</v>
      </c>
      <c r="D15" s="78">
        <v>190691</v>
      </c>
      <c r="E15" s="78">
        <v>2948</v>
      </c>
      <c r="F15" s="80">
        <f>+E15/$E$56</f>
        <v>0.10941617488772594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79" t="s">
        <v>45</v>
      </c>
      <c r="C16" s="78">
        <v>2570</v>
      </c>
      <c r="D16" s="78">
        <v>196328</v>
      </c>
      <c r="E16" s="78">
        <v>2735</v>
      </c>
      <c r="F16" s="80">
        <f>+E16/$E$56</f>
        <v>0.10151059644434547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79" t="s">
        <v>121</v>
      </c>
      <c r="C17" s="78">
        <v>1410</v>
      </c>
      <c r="D17" s="78">
        <v>1418</v>
      </c>
      <c r="E17" s="78">
        <v>2278</v>
      </c>
      <c r="F17" s="80">
        <f>+E17/$E$56</f>
        <v>8.4548862413242776E-2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79" t="s">
        <v>46</v>
      </c>
      <c r="C18" s="78">
        <v>1507</v>
      </c>
      <c r="D18" s="78">
        <v>123693</v>
      </c>
      <c r="E18" s="78">
        <v>1720</v>
      </c>
      <c r="F18" s="80">
        <f>+E18/$E$56</f>
        <v>6.3838473815091112E-2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79" t="s">
        <v>36</v>
      </c>
      <c r="C19" s="78">
        <v>1008</v>
      </c>
      <c r="D19" s="78">
        <v>60480</v>
      </c>
      <c r="E19" s="78">
        <v>1518</v>
      </c>
      <c r="F19" s="80">
        <f>+E19/$E$56</f>
        <v>5.6341164680993205E-2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79" t="s">
        <v>47</v>
      </c>
      <c r="C20" s="78">
        <v>1079</v>
      </c>
      <c r="D20" s="78">
        <v>85940</v>
      </c>
      <c r="E20" s="78">
        <v>1294</v>
      </c>
      <c r="F20" s="80">
        <f>+E20/$E$56</f>
        <v>4.8027316928330177E-2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79" t="s">
        <v>48</v>
      </c>
      <c r="C21" s="78">
        <v>1063</v>
      </c>
      <c r="D21" s="78">
        <v>81860</v>
      </c>
      <c r="E21" s="78">
        <v>1264</v>
      </c>
      <c r="F21" s="80">
        <f>+E21/$E$56</f>
        <v>4.6913855175741377E-2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79" t="s">
        <v>49</v>
      </c>
      <c r="C22" s="78">
        <v>824</v>
      </c>
      <c r="D22" s="78">
        <v>75294</v>
      </c>
      <c r="E22" s="78">
        <v>988</v>
      </c>
      <c r="F22" s="80">
        <f>+E22/$E$56</f>
        <v>3.6670007051924434E-2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79" t="s">
        <v>50</v>
      </c>
      <c r="C23" s="78">
        <v>832</v>
      </c>
      <c r="D23" s="78">
        <v>59689</v>
      </c>
      <c r="E23" s="78">
        <v>962</v>
      </c>
      <c r="F23" s="80">
        <f>+E23/$E$56</f>
        <v>3.5705006866347477E-2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79" t="s">
        <v>51</v>
      </c>
      <c r="C24" s="78">
        <v>758</v>
      </c>
      <c r="D24" s="78">
        <v>63678</v>
      </c>
      <c r="E24" s="78">
        <v>886</v>
      </c>
      <c r="F24" s="80">
        <f>+E24/$E$56</f>
        <v>3.288423709312252E-2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79" t="s">
        <v>52</v>
      </c>
      <c r="C25" s="78">
        <v>710</v>
      </c>
      <c r="D25" s="78">
        <v>61013</v>
      </c>
      <c r="E25" s="78">
        <v>787</v>
      </c>
      <c r="F25" s="80">
        <f>+E25/$E$56</f>
        <v>2.9209813309579481E-2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79" t="s">
        <v>53</v>
      </c>
      <c r="C26" s="78">
        <v>575</v>
      </c>
      <c r="D26" s="78">
        <v>37184</v>
      </c>
      <c r="E26" s="78">
        <v>694</v>
      </c>
      <c r="F26" s="80">
        <f>+E26/$E$56</f>
        <v>2.5758081876554206E-2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79" t="s">
        <v>54</v>
      </c>
      <c r="C27" s="78">
        <v>560</v>
      </c>
      <c r="D27" s="78">
        <v>35840</v>
      </c>
      <c r="E27" s="78">
        <v>688</v>
      </c>
      <c r="F27" s="80">
        <f>+E27/$E$56</f>
        <v>2.5535389526036446E-2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79" t="s">
        <v>55</v>
      </c>
      <c r="C28" s="78">
        <v>496</v>
      </c>
      <c r="D28" s="78">
        <v>23661</v>
      </c>
      <c r="E28" s="78">
        <v>609</v>
      </c>
      <c r="F28" s="80">
        <f>+E28/$E$56</f>
        <v>2.260327357755261E-2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79" t="s">
        <v>56</v>
      </c>
      <c r="C29" s="78">
        <v>466</v>
      </c>
      <c r="D29" s="78">
        <v>29330</v>
      </c>
      <c r="E29" s="78">
        <v>579</v>
      </c>
      <c r="F29" s="80">
        <f>+E29/$E$56</f>
        <v>2.1489811824963814E-2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79" t="s">
        <v>57</v>
      </c>
      <c r="C30" s="78">
        <v>493</v>
      </c>
      <c r="D30" s="78">
        <v>41628</v>
      </c>
      <c r="E30" s="78">
        <v>545</v>
      </c>
      <c r="F30" s="80">
        <f>+E30/$E$56</f>
        <v>2.0227888505363174E-2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79" t="s">
        <v>58</v>
      </c>
      <c r="C31" s="78">
        <v>329</v>
      </c>
      <c r="D31" s="78">
        <v>22016</v>
      </c>
      <c r="E31" s="78">
        <v>422</v>
      </c>
      <c r="F31" s="80">
        <f>+E31/$E$56</f>
        <v>1.56626953197491E-2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79" t="s">
        <v>59</v>
      </c>
      <c r="C32" s="78">
        <v>280</v>
      </c>
      <c r="D32" s="78">
        <v>27520</v>
      </c>
      <c r="E32" s="78">
        <v>346</v>
      </c>
      <c r="F32" s="80">
        <f>+E32/$E$56</f>
        <v>1.2841925546524144E-2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79" t="s">
        <v>60</v>
      </c>
      <c r="C33" s="78">
        <v>264</v>
      </c>
      <c r="D33" s="78">
        <v>19793</v>
      </c>
      <c r="E33" s="78">
        <v>313</v>
      </c>
      <c r="F33" s="80">
        <f>+E33/$E$56</f>
        <v>1.1617117618676466E-2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79" t="s">
        <v>61</v>
      </c>
      <c r="C34" s="78">
        <v>240</v>
      </c>
      <c r="D34" s="78">
        <v>18200</v>
      </c>
      <c r="E34" s="78">
        <v>300</v>
      </c>
      <c r="F34" s="80">
        <f>+E34/$E$56</f>
        <v>1.1134617525887985E-2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79" t="s">
        <v>62</v>
      </c>
      <c r="C35" s="78">
        <v>129</v>
      </c>
      <c r="D35" s="78">
        <v>10311</v>
      </c>
      <c r="E35" s="78">
        <v>143</v>
      </c>
      <c r="F35" s="80">
        <f>+E35/$E$56</f>
        <v>5.307501020673273E-3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79" t="s">
        <v>63</v>
      </c>
      <c r="C36" s="78">
        <v>100</v>
      </c>
      <c r="D36" s="78">
        <v>9800</v>
      </c>
      <c r="E36" s="78">
        <v>100</v>
      </c>
      <c r="F36" s="80">
        <f>+E36/$E$56</f>
        <v>3.7115391752959954E-3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79" t="s">
        <v>64</v>
      </c>
      <c r="C37" s="78">
        <v>72</v>
      </c>
      <c r="D37" s="78">
        <v>4032</v>
      </c>
      <c r="E37" s="78">
        <v>83</v>
      </c>
      <c r="F37" s="80">
        <f>+E37/$E$56</f>
        <v>3.0805775154956762E-3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79" t="s">
        <v>65</v>
      </c>
      <c r="C38" s="78">
        <v>60</v>
      </c>
      <c r="D38" s="78">
        <v>5880</v>
      </c>
      <c r="E38" s="78">
        <v>82</v>
      </c>
      <c r="F38" s="80">
        <f>+E38/$E$56</f>
        <v>3.043462123742716E-3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79" t="s">
        <v>66</v>
      </c>
      <c r="C39" s="78">
        <v>60</v>
      </c>
      <c r="D39" s="78">
        <v>5700</v>
      </c>
      <c r="E39" s="78">
        <v>80</v>
      </c>
      <c r="F39" s="80">
        <f>+E39/$E$56</f>
        <v>2.9692313402367963E-3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79" t="s">
        <v>67</v>
      </c>
      <c r="C40" s="78">
        <v>66</v>
      </c>
      <c r="D40" s="78">
        <v>3696</v>
      </c>
      <c r="E40" s="78">
        <v>76</v>
      </c>
      <c r="F40" s="80">
        <f>+E40/$E$56</f>
        <v>2.8207697732249566E-3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79" t="s">
        <v>68</v>
      </c>
      <c r="C41" s="78">
        <v>60</v>
      </c>
      <c r="D41" s="78">
        <v>3360</v>
      </c>
      <c r="E41" s="78">
        <v>69</v>
      </c>
      <c r="F41" s="80">
        <f>+E41/$E$56</f>
        <v>2.5609620309542365E-3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79" t="s">
        <v>69</v>
      </c>
      <c r="C42" s="78">
        <v>66</v>
      </c>
      <c r="D42" s="78">
        <v>6468</v>
      </c>
      <c r="E42" s="78">
        <v>66</v>
      </c>
      <c r="F42" s="80">
        <f>+E42/$E$56</f>
        <v>2.4496158556953571E-3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79" t="s">
        <v>70</v>
      </c>
      <c r="C43" s="78">
        <v>60</v>
      </c>
      <c r="D43" s="78">
        <v>7200</v>
      </c>
      <c r="E43" s="78">
        <v>65</v>
      </c>
      <c r="F43" s="80">
        <f>+E43/$E$56</f>
        <v>2.4125004639423968E-3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79" t="s">
        <v>71</v>
      </c>
      <c r="C44" s="78">
        <v>46</v>
      </c>
      <c r="D44" s="78">
        <v>2576</v>
      </c>
      <c r="E44" s="78">
        <v>53</v>
      </c>
      <c r="F44" s="80">
        <f>+E44/$E$56</f>
        <v>1.9671157629068776E-3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79" t="s">
        <v>72</v>
      </c>
      <c r="C45" s="78">
        <v>42</v>
      </c>
      <c r="D45" s="78">
        <v>3150</v>
      </c>
      <c r="E45" s="78">
        <v>52</v>
      </c>
      <c r="F45" s="80">
        <f>+E45/$E$56</f>
        <v>1.9300003711539176E-3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79" t="s">
        <v>73</v>
      </c>
      <c r="C46" s="78">
        <v>42</v>
      </c>
      <c r="D46" s="78">
        <v>4648</v>
      </c>
      <c r="E46" s="78">
        <v>50</v>
      </c>
      <c r="F46" s="80">
        <f>+E46/$E$56</f>
        <v>1.8557695876479977E-3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79" t="s">
        <v>74</v>
      </c>
      <c r="C47" s="78">
        <v>40</v>
      </c>
      <c r="D47" s="78">
        <v>4800</v>
      </c>
      <c r="E47" s="78">
        <v>43</v>
      </c>
      <c r="F47" s="80">
        <f>+E47/$E$56</f>
        <v>1.5959618453772779E-3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79" t="s">
        <v>75</v>
      </c>
      <c r="C48" s="78">
        <v>40</v>
      </c>
      <c r="D48" s="78">
        <v>4800</v>
      </c>
      <c r="E48" s="78">
        <v>43</v>
      </c>
      <c r="F48" s="80">
        <f>+E48/$E$56</f>
        <v>1.5959618453772779E-3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79" t="s">
        <v>76</v>
      </c>
      <c r="C49" s="78">
        <v>40</v>
      </c>
      <c r="D49" s="78">
        <v>4504</v>
      </c>
      <c r="E49" s="78">
        <v>41</v>
      </c>
      <c r="F49" s="80">
        <f>+E49/$E$56</f>
        <v>1.521731061871358E-3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79" t="s">
        <v>77</v>
      </c>
      <c r="C50" s="78">
        <v>20</v>
      </c>
      <c r="D50" s="78">
        <v>3200</v>
      </c>
      <c r="E50" s="78">
        <v>29</v>
      </c>
      <c r="F50" s="80">
        <f>+E50/$E$56</f>
        <v>1.0763463608358386E-3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79" t="s">
        <v>78</v>
      </c>
      <c r="C51" s="78">
        <v>20</v>
      </c>
      <c r="D51" s="78">
        <v>1902</v>
      </c>
      <c r="E51" s="78">
        <v>27</v>
      </c>
      <c r="F51" s="80">
        <f>+E51/$E$56</f>
        <v>1.0021155773299187E-3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79" t="s">
        <v>79</v>
      </c>
      <c r="C52" s="78">
        <v>20</v>
      </c>
      <c r="D52" s="78">
        <v>1260</v>
      </c>
      <c r="E52" s="78">
        <v>26</v>
      </c>
      <c r="F52" s="80">
        <f>+E52/$E$56</f>
        <v>9.6500018557695879E-4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79" t="s">
        <v>80</v>
      </c>
      <c r="C53" s="78">
        <v>20</v>
      </c>
      <c r="D53" s="78">
        <v>2560</v>
      </c>
      <c r="E53" s="78">
        <v>23</v>
      </c>
      <c r="F53" s="80">
        <f>+E53/$E$56</f>
        <v>8.5365401031807888E-4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79" t="s">
        <v>81</v>
      </c>
      <c r="C54" s="78">
        <v>20</v>
      </c>
      <c r="D54" s="78">
        <v>2400</v>
      </c>
      <c r="E54" s="78">
        <v>22</v>
      </c>
      <c r="F54" s="80">
        <f>+E54/$E$56</f>
        <v>8.1653861856511895E-4</v>
      </c>
      <c r="I54" s="33"/>
      <c r="J54" s="34"/>
      <c r="K54" s="34"/>
      <c r="L54" s="34"/>
      <c r="N54" s="33"/>
      <c r="O54" s="34"/>
      <c r="P54" s="34"/>
      <c r="Q54" s="34"/>
    </row>
    <row r="55" spans="2:17" ht="20.100000000000001" customHeight="1" x14ac:dyDescent="0.2">
      <c r="B55" s="79" t="s">
        <v>82</v>
      </c>
      <c r="C55" s="78">
        <v>20</v>
      </c>
      <c r="D55" s="78">
        <v>2280</v>
      </c>
      <c r="E55" s="78">
        <v>21</v>
      </c>
      <c r="F55" s="80">
        <f>+E55/$E$56</f>
        <v>7.7942322681215901E-4</v>
      </c>
    </row>
    <row r="56" spans="2:17" ht="20.100000000000001" customHeight="1" x14ac:dyDescent="0.2">
      <c r="B56" s="75" t="s">
        <v>19</v>
      </c>
      <c r="C56" s="76">
        <f>SUBTOTAL(109,Tabla3[PALLETS])</f>
        <v>22072</v>
      </c>
      <c r="D56" s="76">
        <f>SUM(D14:D55)</f>
        <v>1354871</v>
      </c>
      <c r="E56" s="76">
        <f>SUM(E14:E55)</f>
        <v>26943</v>
      </c>
      <c r="F56" s="94">
        <f>SUBTOTAL(109,F14:F55)</f>
        <v>1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42"/>
  <sheetViews>
    <sheetView showGridLines="0" topLeftCell="A4" zoomScaleNormal="100" zoomScalePageLayoutView="110" workbookViewId="0">
      <selection activeCell="F4" sqref="F4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7" t="s">
        <v>27</v>
      </c>
      <c r="C10" s="87"/>
      <c r="D10" s="87"/>
      <c r="E10" s="87"/>
      <c r="F10" s="87"/>
      <c r="G10" s="32"/>
      <c r="H10" s="32"/>
    </row>
    <row r="11" spans="2:17" x14ac:dyDescent="0.2">
      <c r="B11" s="2"/>
      <c r="C11" s="2"/>
      <c r="D11" s="89" t="str">
        <f>Principal!C13</f>
        <v>datos al 28/02/2025</v>
      </c>
      <c r="E11" s="89"/>
      <c r="F11" s="89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44</v>
      </c>
      <c r="C14" s="60">
        <v>2529</v>
      </c>
      <c r="D14" s="60">
        <v>190691</v>
      </c>
      <c r="E14" s="60">
        <v>2948</v>
      </c>
      <c r="F14" s="61">
        <f>+E14/$E$42</f>
        <v>0.15682519416959251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45</v>
      </c>
      <c r="C15" s="60">
        <v>2570</v>
      </c>
      <c r="D15" s="60">
        <v>196328</v>
      </c>
      <c r="E15" s="60">
        <v>2735</v>
      </c>
      <c r="F15" s="61">
        <f>+E15/$E$42</f>
        <v>0.14549420151079903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46</v>
      </c>
      <c r="C16" s="60">
        <v>1507</v>
      </c>
      <c r="D16" s="60">
        <v>123693</v>
      </c>
      <c r="E16" s="60">
        <v>1720</v>
      </c>
      <c r="F16" s="61">
        <f t="shared" ref="F16:F41" si="0">+E16/$E$42</f>
        <v>9.1499095648473236E-2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47</v>
      </c>
      <c r="C17" s="60">
        <v>1079</v>
      </c>
      <c r="D17" s="60">
        <v>85940</v>
      </c>
      <c r="E17" s="60">
        <v>1294</v>
      </c>
      <c r="F17" s="61">
        <f t="shared" si="0"/>
        <v>6.883711033088627E-2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48</v>
      </c>
      <c r="C18" s="60">
        <v>1063</v>
      </c>
      <c r="D18" s="60">
        <v>81860</v>
      </c>
      <c r="E18" s="60">
        <v>1264</v>
      </c>
      <c r="F18" s="61">
        <f t="shared" si="0"/>
        <v>6.7241195871901263E-2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49</v>
      </c>
      <c r="C19" s="60">
        <v>824</v>
      </c>
      <c r="D19" s="60">
        <v>75294</v>
      </c>
      <c r="E19" s="60">
        <v>988</v>
      </c>
      <c r="F19" s="61">
        <f t="shared" si="0"/>
        <v>5.2558782849239281E-2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50</v>
      </c>
      <c r="C20" s="60">
        <v>832</v>
      </c>
      <c r="D20" s="60">
        <v>59689</v>
      </c>
      <c r="E20" s="60">
        <v>962</v>
      </c>
      <c r="F20" s="61">
        <f t="shared" si="0"/>
        <v>5.1175656984785614E-2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51</v>
      </c>
      <c r="C21" s="60">
        <v>758</v>
      </c>
      <c r="D21" s="60">
        <v>63678</v>
      </c>
      <c r="E21" s="60">
        <v>886</v>
      </c>
      <c r="F21" s="61">
        <f t="shared" si="0"/>
        <v>4.7132673688690285E-2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52</v>
      </c>
      <c r="C22" s="60">
        <v>710</v>
      </c>
      <c r="D22" s="60">
        <v>61013</v>
      </c>
      <c r="E22" s="60">
        <v>787</v>
      </c>
      <c r="F22" s="61">
        <f t="shared" si="0"/>
        <v>4.1866155974039788E-2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53</v>
      </c>
      <c r="C23" s="60">
        <v>575</v>
      </c>
      <c r="D23" s="60">
        <v>37184</v>
      </c>
      <c r="E23" s="60">
        <v>694</v>
      </c>
      <c r="F23" s="61">
        <f t="shared" si="0"/>
        <v>3.6918821151186297E-2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54</v>
      </c>
      <c r="C24" s="60">
        <v>560</v>
      </c>
      <c r="D24" s="60">
        <v>35840</v>
      </c>
      <c r="E24" s="60">
        <v>688</v>
      </c>
      <c r="F24" s="61">
        <f t="shared" si="0"/>
        <v>3.6599638259389299E-2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55</v>
      </c>
      <c r="C25" s="60">
        <v>496</v>
      </c>
      <c r="D25" s="60">
        <v>23661</v>
      </c>
      <c r="E25" s="60">
        <v>609</v>
      </c>
      <c r="F25" s="61">
        <f t="shared" si="0"/>
        <v>3.239706351739547E-2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56</v>
      </c>
      <c r="C26" s="60">
        <v>466</v>
      </c>
      <c r="D26" s="60">
        <v>29330</v>
      </c>
      <c r="E26" s="60">
        <v>579</v>
      </c>
      <c r="F26" s="61">
        <f t="shared" si="0"/>
        <v>3.0801149058410471E-2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57</v>
      </c>
      <c r="C27" s="60">
        <v>493</v>
      </c>
      <c r="D27" s="60">
        <v>41628</v>
      </c>
      <c r="E27" s="60">
        <v>545</v>
      </c>
      <c r="F27" s="61">
        <f t="shared" si="0"/>
        <v>2.8992446004894139E-2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58</v>
      </c>
      <c r="C28" s="60">
        <v>329</v>
      </c>
      <c r="D28" s="60">
        <v>22016</v>
      </c>
      <c r="E28" s="60">
        <v>422</v>
      </c>
      <c r="F28" s="61">
        <f t="shared" si="0"/>
        <v>2.2449196723055644E-2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59</v>
      </c>
      <c r="C29" s="60">
        <v>280</v>
      </c>
      <c r="D29" s="60">
        <v>27520</v>
      </c>
      <c r="E29" s="60">
        <v>346</v>
      </c>
      <c r="F29" s="61">
        <f t="shared" si="0"/>
        <v>1.8406213426960315E-2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60</v>
      </c>
      <c r="C30" s="60">
        <v>264</v>
      </c>
      <c r="D30" s="60">
        <v>19793</v>
      </c>
      <c r="E30" s="60">
        <v>313</v>
      </c>
      <c r="F30" s="61">
        <f t="shared" si="0"/>
        <v>1.6650707522076817E-2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61</v>
      </c>
      <c r="C31" s="60">
        <v>240</v>
      </c>
      <c r="D31" s="60">
        <v>18200</v>
      </c>
      <c r="E31" s="60">
        <v>300</v>
      </c>
      <c r="F31" s="61">
        <f t="shared" si="0"/>
        <v>1.5959144589849983E-2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62</v>
      </c>
      <c r="C32" s="60">
        <v>129</v>
      </c>
      <c r="D32" s="60">
        <v>10311</v>
      </c>
      <c r="E32" s="60">
        <v>143</v>
      </c>
      <c r="F32" s="61">
        <f t="shared" si="0"/>
        <v>7.6071922544951589E-3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63</v>
      </c>
      <c r="C33" s="60">
        <v>100</v>
      </c>
      <c r="D33" s="60">
        <v>9800</v>
      </c>
      <c r="E33" s="60">
        <v>100</v>
      </c>
      <c r="F33" s="61">
        <f t="shared" si="0"/>
        <v>5.3197148632833282E-3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64</v>
      </c>
      <c r="C34" s="60">
        <v>72</v>
      </c>
      <c r="D34" s="60">
        <v>4032</v>
      </c>
      <c r="E34" s="60">
        <v>83</v>
      </c>
      <c r="F34" s="61">
        <f t="shared" si="0"/>
        <v>4.4153633365251622E-3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67</v>
      </c>
      <c r="C35" s="60">
        <v>66</v>
      </c>
      <c r="D35" s="60">
        <v>3696</v>
      </c>
      <c r="E35" s="60">
        <v>76</v>
      </c>
      <c r="F35" s="61">
        <f t="shared" si="0"/>
        <v>4.0429832960953297E-3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68</v>
      </c>
      <c r="C36" s="60">
        <v>60</v>
      </c>
      <c r="D36" s="60">
        <v>3360</v>
      </c>
      <c r="E36" s="60">
        <v>69</v>
      </c>
      <c r="F36" s="61">
        <f t="shared" si="0"/>
        <v>3.6706032556654963E-3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69</v>
      </c>
      <c r="C37" s="60">
        <v>66</v>
      </c>
      <c r="D37" s="60">
        <v>6468</v>
      </c>
      <c r="E37" s="60">
        <v>66</v>
      </c>
      <c r="F37" s="61">
        <f t="shared" si="0"/>
        <v>3.5110118097669966E-3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71</v>
      </c>
      <c r="C38" s="60">
        <v>46</v>
      </c>
      <c r="D38" s="60">
        <v>2576</v>
      </c>
      <c r="E38" s="60">
        <v>53</v>
      </c>
      <c r="F38" s="61">
        <f t="shared" si="0"/>
        <v>2.8194488775401638E-3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72</v>
      </c>
      <c r="C39" s="60">
        <v>42</v>
      </c>
      <c r="D39" s="60">
        <v>3150</v>
      </c>
      <c r="E39" s="60">
        <v>52</v>
      </c>
      <c r="F39" s="61">
        <f t="shared" si="0"/>
        <v>2.7662517289073307E-3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73</v>
      </c>
      <c r="C40" s="60">
        <v>42</v>
      </c>
      <c r="D40" s="60">
        <v>4648</v>
      </c>
      <c r="E40" s="60">
        <v>50</v>
      </c>
      <c r="F40" s="61">
        <f t="shared" si="0"/>
        <v>2.6598574316416641E-3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79</v>
      </c>
      <c r="C41" s="60">
        <v>20</v>
      </c>
      <c r="D41" s="60">
        <v>1260</v>
      </c>
      <c r="E41" s="60">
        <v>26</v>
      </c>
      <c r="F41" s="61">
        <f t="shared" si="0"/>
        <v>1.3831258644536654E-3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75" t="s">
        <v>19</v>
      </c>
      <c r="C42" s="95">
        <f>SUM(C14:C41)</f>
        <v>16218</v>
      </c>
      <c r="D42" s="95">
        <f>SUM(D14:D41)</f>
        <v>1242659</v>
      </c>
      <c r="E42" s="95">
        <f>SUM(E14:E41)</f>
        <v>18798</v>
      </c>
      <c r="F42" s="94">
        <f>SUM(F14:F41)</f>
        <v>1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59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1.710937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1" t="s">
        <v>28</v>
      </c>
      <c r="C9" s="91"/>
      <c r="D9" s="91"/>
      <c r="E9" s="91"/>
      <c r="F9" s="91"/>
      <c r="G9" s="91"/>
      <c r="H9" s="91"/>
      <c r="I9" s="91"/>
      <c r="J9" s="11"/>
    </row>
    <row r="10" spans="2:19" x14ac:dyDescent="0.2">
      <c r="B10" s="9"/>
      <c r="C10" s="9"/>
      <c r="D10" s="9"/>
      <c r="E10" s="9"/>
      <c r="F10" s="92" t="str">
        <f>+CONCATENATE(MID(Principal!C13,1,14)," de ambas temporadas")</f>
        <v>datos al 28/02 de ambas temporadas</v>
      </c>
      <c r="G10" s="92"/>
      <c r="H10" s="92"/>
      <c r="I10" s="92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83</v>
      </c>
      <c r="C14" s="67">
        <v>20</v>
      </c>
      <c r="D14" s="67">
        <v>1420</v>
      </c>
      <c r="E14" s="67">
        <v>22</v>
      </c>
      <c r="F14" s="68">
        <v>0</v>
      </c>
      <c r="G14" s="69">
        <v>0</v>
      </c>
      <c r="H14" s="69">
        <v>0</v>
      </c>
      <c r="I14" s="70">
        <f t="shared" ref="I14" si="0">(+H14-E14)/E14</f>
        <v>-1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86</v>
      </c>
      <c r="C15" s="67">
        <v>289</v>
      </c>
      <c r="D15" s="67">
        <v>35056</v>
      </c>
      <c r="E15" s="67">
        <v>323</v>
      </c>
      <c r="F15" s="68">
        <v>142</v>
      </c>
      <c r="G15" s="69">
        <v>16904</v>
      </c>
      <c r="H15" s="69">
        <v>152</v>
      </c>
      <c r="I15" s="70">
        <f t="shared" ref="I15:I26" si="1">(+H15-E15)/E15</f>
        <v>-0.52941176470588236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122</v>
      </c>
      <c r="C16" s="67">
        <v>0</v>
      </c>
      <c r="D16" s="67">
        <v>0</v>
      </c>
      <c r="E16" s="67">
        <v>0</v>
      </c>
      <c r="F16" s="68">
        <v>601</v>
      </c>
      <c r="G16" s="69">
        <v>601</v>
      </c>
      <c r="H16" s="69">
        <v>970</v>
      </c>
      <c r="I16" s="71" t="s">
        <v>37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123</v>
      </c>
      <c r="C17" s="67">
        <v>0</v>
      </c>
      <c r="D17" s="67">
        <v>0</v>
      </c>
      <c r="E17" s="67">
        <v>0</v>
      </c>
      <c r="F17" s="68">
        <v>809</v>
      </c>
      <c r="G17" s="69">
        <v>817</v>
      </c>
      <c r="H17" s="69">
        <v>1308</v>
      </c>
      <c r="I17" s="71" t="s">
        <v>37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87</v>
      </c>
      <c r="C18" s="67">
        <v>40</v>
      </c>
      <c r="D18" s="67">
        <v>15262</v>
      </c>
      <c r="E18" s="67">
        <v>214</v>
      </c>
      <c r="F18" s="68">
        <v>140</v>
      </c>
      <c r="G18" s="69">
        <v>13482</v>
      </c>
      <c r="H18" s="69">
        <v>189</v>
      </c>
      <c r="I18" s="70">
        <f t="shared" si="1"/>
        <v>-0.11682242990654206</v>
      </c>
      <c r="J18" s="15"/>
      <c r="L18" s="16"/>
      <c r="M18" s="17"/>
      <c r="N18" s="17"/>
      <c r="O18" s="4"/>
      <c r="P18" s="4"/>
      <c r="Q18" s="4"/>
      <c r="R18" s="4"/>
      <c r="S18" s="4"/>
    </row>
    <row r="19" spans="2:19" ht="20.100000000000001" customHeight="1" x14ac:dyDescent="0.2">
      <c r="B19" s="66" t="s">
        <v>88</v>
      </c>
      <c r="C19" s="67">
        <v>462</v>
      </c>
      <c r="D19" s="67">
        <v>25466</v>
      </c>
      <c r="E19" s="67">
        <v>484</v>
      </c>
      <c r="F19" s="68">
        <v>506</v>
      </c>
      <c r="G19" s="69">
        <v>27797</v>
      </c>
      <c r="H19" s="69">
        <v>531</v>
      </c>
      <c r="I19" s="70">
        <f t="shared" si="1"/>
        <v>9.7107438016528921E-2</v>
      </c>
      <c r="J19" s="15"/>
      <c r="L19" s="16"/>
      <c r="M19" s="17"/>
      <c r="N19" s="17"/>
      <c r="O19" s="4"/>
      <c r="P19" s="4"/>
      <c r="Q19" s="4"/>
      <c r="R19" s="4"/>
      <c r="S19" s="4"/>
    </row>
    <row r="20" spans="2:19" ht="20.100000000000001" customHeight="1" x14ac:dyDescent="0.2">
      <c r="B20" s="66" t="s">
        <v>89</v>
      </c>
      <c r="C20" s="67">
        <v>172</v>
      </c>
      <c r="D20" s="67">
        <v>20485</v>
      </c>
      <c r="E20" s="67">
        <v>189</v>
      </c>
      <c r="F20" s="68">
        <v>98</v>
      </c>
      <c r="G20" s="69">
        <v>12560</v>
      </c>
      <c r="H20" s="69">
        <v>113</v>
      </c>
      <c r="I20" s="70">
        <f t="shared" si="1"/>
        <v>-0.40211640211640209</v>
      </c>
      <c r="J20" s="15"/>
      <c r="L20" s="16"/>
      <c r="M20" s="17"/>
      <c r="N20" s="17"/>
      <c r="O20" s="4"/>
      <c r="P20" s="4"/>
      <c r="Q20" s="4"/>
      <c r="R20" s="4"/>
      <c r="S20" s="4"/>
    </row>
    <row r="21" spans="2:19" ht="20.100000000000001" customHeight="1" x14ac:dyDescent="0.2">
      <c r="B21" s="66" t="s">
        <v>90</v>
      </c>
      <c r="C21" s="67">
        <v>25121</v>
      </c>
      <c r="D21" s="67">
        <v>1964034</v>
      </c>
      <c r="E21" s="67">
        <v>29981</v>
      </c>
      <c r="F21" s="68">
        <v>15712</v>
      </c>
      <c r="G21" s="69">
        <v>1214862</v>
      </c>
      <c r="H21" s="69">
        <v>18265</v>
      </c>
      <c r="I21" s="70">
        <f t="shared" si="1"/>
        <v>-0.39078082785764318</v>
      </c>
      <c r="J21" s="15"/>
      <c r="L21" s="16"/>
      <c r="M21" s="17"/>
      <c r="N21" s="17"/>
      <c r="O21" s="4"/>
      <c r="P21" s="4"/>
      <c r="Q21" s="4"/>
      <c r="R21" s="4"/>
      <c r="S21" s="4"/>
    </row>
    <row r="22" spans="2:19" ht="20.100000000000001" customHeight="1" x14ac:dyDescent="0.2">
      <c r="B22" s="66" t="s">
        <v>84</v>
      </c>
      <c r="C22" s="67">
        <v>0</v>
      </c>
      <c r="D22" s="67">
        <v>16129</v>
      </c>
      <c r="E22" s="67">
        <v>198</v>
      </c>
      <c r="F22" s="68">
        <v>0</v>
      </c>
      <c r="G22" s="69">
        <v>0</v>
      </c>
      <c r="H22" s="69">
        <v>0</v>
      </c>
      <c r="I22" s="70">
        <f t="shared" si="1"/>
        <v>-1</v>
      </c>
      <c r="J22" s="15"/>
      <c r="L22" s="16"/>
      <c r="M22" s="17"/>
      <c r="N22" s="17"/>
      <c r="O22" s="4"/>
      <c r="P22" s="4"/>
      <c r="Q22" s="4"/>
      <c r="R22" s="4"/>
      <c r="S22" s="4"/>
    </row>
    <row r="23" spans="2:19" ht="20.100000000000001" customHeight="1" x14ac:dyDescent="0.2">
      <c r="B23" s="66" t="s">
        <v>91</v>
      </c>
      <c r="C23" s="67">
        <v>0</v>
      </c>
      <c r="D23" s="67">
        <v>0</v>
      </c>
      <c r="E23" s="67">
        <v>0</v>
      </c>
      <c r="F23" s="68">
        <v>2838</v>
      </c>
      <c r="G23" s="69">
        <v>4890</v>
      </c>
      <c r="H23" s="69">
        <v>3621</v>
      </c>
      <c r="I23" s="71" t="s">
        <v>37</v>
      </c>
      <c r="J23" s="15"/>
      <c r="L23" s="16"/>
      <c r="M23" s="17"/>
      <c r="N23" s="17"/>
      <c r="O23" s="4"/>
      <c r="P23" s="4"/>
      <c r="Q23" s="4"/>
      <c r="R23" s="4"/>
      <c r="S23" s="4"/>
    </row>
    <row r="24" spans="2:19" ht="20.100000000000001" customHeight="1" x14ac:dyDescent="0.2">
      <c r="B24" s="66" t="s">
        <v>92</v>
      </c>
      <c r="C24" s="67">
        <v>420</v>
      </c>
      <c r="D24" s="67">
        <v>25200</v>
      </c>
      <c r="E24" s="67">
        <v>633</v>
      </c>
      <c r="F24" s="68">
        <v>1008</v>
      </c>
      <c r="G24" s="69">
        <v>60480</v>
      </c>
      <c r="H24" s="69">
        <v>1518</v>
      </c>
      <c r="I24" s="70">
        <f t="shared" si="1"/>
        <v>1.3981042654028435</v>
      </c>
      <c r="J24" s="15"/>
      <c r="L24" s="16"/>
      <c r="M24" s="17"/>
      <c r="N24" s="17"/>
      <c r="O24" s="4"/>
      <c r="P24" s="4"/>
      <c r="Q24" s="4"/>
      <c r="R24" s="4"/>
      <c r="S24" s="4"/>
    </row>
    <row r="25" spans="2:19" ht="20.100000000000001" customHeight="1" x14ac:dyDescent="0.2">
      <c r="B25" s="66" t="s">
        <v>93</v>
      </c>
      <c r="C25" s="67">
        <v>38</v>
      </c>
      <c r="D25" s="67">
        <v>38</v>
      </c>
      <c r="E25" s="67">
        <v>57</v>
      </c>
      <c r="F25" s="68">
        <v>198</v>
      </c>
      <c r="G25" s="69">
        <v>198</v>
      </c>
      <c r="H25" s="69">
        <v>252</v>
      </c>
      <c r="I25" s="70">
        <f t="shared" si="1"/>
        <v>3.4210526315789473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94</v>
      </c>
      <c r="C26" s="67">
        <v>320</v>
      </c>
      <c r="D26" s="67">
        <v>36330</v>
      </c>
      <c r="E26" s="67">
        <v>327</v>
      </c>
      <c r="F26" s="68">
        <v>20</v>
      </c>
      <c r="G26" s="69">
        <v>2280</v>
      </c>
      <c r="H26" s="69">
        <v>21</v>
      </c>
      <c r="I26" s="70">
        <f t="shared" si="1"/>
        <v>-0.93577981651376152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44" t="s">
        <v>19</v>
      </c>
      <c r="C27" s="45">
        <f>SUM(C14:C26)</f>
        <v>26882</v>
      </c>
      <c r="D27" s="45">
        <f>SUM(D14:D26)</f>
        <v>2139420</v>
      </c>
      <c r="E27" s="45">
        <f>SUM(E14:E26)</f>
        <v>32428</v>
      </c>
      <c r="F27" s="46">
        <f>SUM(F14:F26)</f>
        <v>22072</v>
      </c>
      <c r="G27" s="47">
        <f>SUM(G14:G26)</f>
        <v>1354871</v>
      </c>
      <c r="H27" s="47">
        <f>SUM(H14:H26)</f>
        <v>26940</v>
      </c>
      <c r="I27" s="81">
        <f>+(H27-E27)/E27</f>
        <v>-0.16923646231651659</v>
      </c>
      <c r="J27" s="19"/>
      <c r="L27" s="13"/>
      <c r="M27" s="20"/>
      <c r="N27" s="20"/>
      <c r="O27" s="20"/>
      <c r="P27" s="3"/>
      <c r="Q27" s="3"/>
      <c r="R27" s="3"/>
      <c r="S27" s="3"/>
    </row>
    <row r="28" spans="2:19" ht="16.5" customHeight="1" x14ac:dyDescent="0.2">
      <c r="B28" s="48"/>
      <c r="C28" s="49"/>
      <c r="D28" s="49"/>
      <c r="E28" s="49"/>
      <c r="F28" s="50"/>
      <c r="G28" s="90" t="s">
        <v>16</v>
      </c>
      <c r="H28" s="90"/>
      <c r="I28" s="51">
        <f>+(F27-C27)/C27</f>
        <v>-0.17893013912655309</v>
      </c>
      <c r="J28" s="19"/>
      <c r="L28" s="13"/>
      <c r="M28" s="20"/>
      <c r="N28" s="20"/>
      <c r="O28" s="20"/>
      <c r="P28" s="3"/>
      <c r="S28" s="18"/>
    </row>
    <row r="29" spans="2:19" ht="16.5" customHeight="1" x14ac:dyDescent="0.2">
      <c r="B29" s="48"/>
      <c r="C29" s="49"/>
      <c r="D29" s="49"/>
      <c r="E29" s="49"/>
      <c r="F29" s="50"/>
      <c r="G29" s="74"/>
      <c r="H29" s="74"/>
      <c r="I29" s="77"/>
      <c r="J29" s="19"/>
      <c r="L29" s="13"/>
      <c r="M29" s="20"/>
      <c r="N29" s="20"/>
      <c r="O29" s="20"/>
      <c r="P29" s="3"/>
      <c r="S29" s="18"/>
    </row>
    <row r="30" spans="2:19" ht="16.5" customHeight="1" x14ac:dyDescent="0.2">
      <c r="B30" s="38"/>
      <c r="C30" s="39"/>
      <c r="D30" s="39"/>
      <c r="E30" s="40">
        <v>2024</v>
      </c>
      <c r="F30" s="38"/>
      <c r="G30" s="41"/>
      <c r="H30" s="41"/>
      <c r="I30" s="62">
        <v>2025</v>
      </c>
      <c r="J30" s="11"/>
      <c r="L30" s="13"/>
      <c r="M30" s="13"/>
      <c r="N30" s="13"/>
      <c r="O30" s="13"/>
      <c r="P30" s="13"/>
      <c r="Q30" s="13"/>
      <c r="R30" s="13"/>
      <c r="S30" s="14"/>
    </row>
    <row r="31" spans="2:19" ht="16.5" customHeight="1" x14ac:dyDescent="0.2">
      <c r="B31" s="42" t="s">
        <v>17</v>
      </c>
      <c r="C31" s="63" t="s">
        <v>20</v>
      </c>
      <c r="D31" s="63" t="s">
        <v>21</v>
      </c>
      <c r="E31" s="64" t="s">
        <v>22</v>
      </c>
      <c r="F31" s="65" t="s">
        <v>9</v>
      </c>
      <c r="G31" s="64" t="s">
        <v>10</v>
      </c>
      <c r="H31" s="64" t="s">
        <v>11</v>
      </c>
      <c r="I31" s="64" t="s">
        <v>23</v>
      </c>
      <c r="J31" s="12"/>
      <c r="L31" s="13"/>
      <c r="M31" s="4"/>
      <c r="N31" s="4"/>
      <c r="O31" s="4"/>
      <c r="P31" s="4"/>
      <c r="Q31" s="4"/>
      <c r="R31" s="4"/>
      <c r="S31" s="4"/>
    </row>
    <row r="32" spans="2:19" ht="20.100000000000001" customHeight="1" x14ac:dyDescent="0.2">
      <c r="B32" s="66" t="s">
        <v>95</v>
      </c>
      <c r="C32" s="67">
        <v>223</v>
      </c>
      <c r="D32" s="67">
        <v>20713</v>
      </c>
      <c r="E32" s="67">
        <v>249</v>
      </c>
      <c r="F32" s="68">
        <v>180</v>
      </c>
      <c r="G32" s="69">
        <v>19380</v>
      </c>
      <c r="H32" s="69">
        <v>197</v>
      </c>
      <c r="I32" s="70">
        <f>+(Tabla6[[#This Row],[TONELADAS]]-Tabla6[[#This Row],[TONS]])/Tabla6[[#This Row],[TONS]]</f>
        <v>-0.20883534136546184</v>
      </c>
      <c r="J32" s="12"/>
      <c r="L32" s="13"/>
      <c r="M32" s="4"/>
      <c r="N32" s="4"/>
      <c r="O32" s="4"/>
      <c r="P32" s="4"/>
      <c r="Q32" s="4"/>
      <c r="R32" s="4"/>
      <c r="S32" s="4"/>
    </row>
    <row r="33" spans="2:19" ht="20.100000000000001" customHeight="1" x14ac:dyDescent="0.2">
      <c r="B33" s="66" t="s">
        <v>96</v>
      </c>
      <c r="C33" s="67">
        <v>1825</v>
      </c>
      <c r="D33" s="67">
        <v>114099</v>
      </c>
      <c r="E33" s="67">
        <v>2381</v>
      </c>
      <c r="F33" s="68">
        <v>3630</v>
      </c>
      <c r="G33" s="69">
        <v>52410</v>
      </c>
      <c r="H33" s="69">
        <v>4813</v>
      </c>
      <c r="I33" s="70">
        <f>+(Tabla6[[#This Row],[TONELADAS]]-Tabla6[[#This Row],[TONS]])/Tabla6[[#This Row],[TONS]]</f>
        <v>1.0214195716085679</v>
      </c>
      <c r="J33" s="12"/>
      <c r="L33" s="13"/>
      <c r="M33" s="4"/>
      <c r="N33" s="4"/>
      <c r="O33" s="4"/>
      <c r="P33" s="4"/>
      <c r="Q33" s="4"/>
      <c r="R33" s="4"/>
      <c r="S33" s="4"/>
    </row>
    <row r="34" spans="2:19" ht="20.100000000000001" customHeight="1" x14ac:dyDescent="0.2">
      <c r="B34" s="66" t="s">
        <v>97</v>
      </c>
      <c r="C34" s="67">
        <v>450</v>
      </c>
      <c r="D34" s="67">
        <v>26815</v>
      </c>
      <c r="E34" s="67">
        <v>536</v>
      </c>
      <c r="F34" s="68">
        <v>201</v>
      </c>
      <c r="G34" s="69">
        <v>12072</v>
      </c>
      <c r="H34" s="69">
        <v>237</v>
      </c>
      <c r="I34" s="70">
        <f>+(Tabla6[[#This Row],[TONELADAS]]-Tabla6[[#This Row],[TONS]])/Tabla6[[#This Row],[TONS]]</f>
        <v>-0.55783582089552242</v>
      </c>
      <c r="J34" s="12"/>
      <c r="L34" s="13"/>
      <c r="M34" s="4"/>
      <c r="N34" s="4"/>
      <c r="O34" s="4"/>
      <c r="P34" s="4"/>
      <c r="Q34" s="4"/>
      <c r="R34" s="4"/>
      <c r="S34" s="4"/>
    </row>
    <row r="35" spans="2:19" ht="20.100000000000001" customHeight="1" x14ac:dyDescent="0.2">
      <c r="B35" s="66" t="s">
        <v>98</v>
      </c>
      <c r="C35" s="67">
        <v>0</v>
      </c>
      <c r="D35" s="67">
        <v>0</v>
      </c>
      <c r="E35" s="67">
        <v>0</v>
      </c>
      <c r="F35" s="68">
        <v>72</v>
      </c>
      <c r="G35" s="69">
        <v>4320</v>
      </c>
      <c r="H35" s="69">
        <v>108</v>
      </c>
      <c r="I35" s="71" t="s">
        <v>37</v>
      </c>
      <c r="J35" s="12"/>
      <c r="L35" s="13"/>
      <c r="M35" s="4"/>
      <c r="N35" s="4"/>
      <c r="O35" s="4"/>
      <c r="P35" s="4"/>
      <c r="Q35" s="4"/>
      <c r="R35" s="4"/>
      <c r="S35" s="4"/>
    </row>
    <row r="36" spans="2:19" ht="20.100000000000001" customHeight="1" x14ac:dyDescent="0.2">
      <c r="B36" s="66" t="s">
        <v>99</v>
      </c>
      <c r="C36" s="67">
        <v>0</v>
      </c>
      <c r="D36" s="67">
        <v>0</v>
      </c>
      <c r="E36" s="67">
        <v>0</v>
      </c>
      <c r="F36" s="68">
        <v>132</v>
      </c>
      <c r="G36" s="69">
        <v>132</v>
      </c>
      <c r="H36" s="69">
        <v>168</v>
      </c>
      <c r="I36" s="71" t="s">
        <v>37</v>
      </c>
      <c r="J36" s="12"/>
      <c r="L36" s="13"/>
      <c r="M36" s="4"/>
      <c r="N36" s="4"/>
      <c r="O36" s="4"/>
      <c r="P36" s="4"/>
      <c r="Q36" s="4"/>
      <c r="R36" s="4"/>
      <c r="S36" s="4"/>
    </row>
    <row r="37" spans="2:19" ht="20.100000000000001" customHeight="1" x14ac:dyDescent="0.2">
      <c r="B37" s="66" t="s">
        <v>100</v>
      </c>
      <c r="C37" s="67">
        <v>21</v>
      </c>
      <c r="D37" s="67">
        <v>2205</v>
      </c>
      <c r="E37" s="67">
        <v>22</v>
      </c>
      <c r="F37" s="68">
        <v>21</v>
      </c>
      <c r="G37" s="69">
        <v>2205</v>
      </c>
      <c r="H37" s="69">
        <v>22</v>
      </c>
      <c r="I37" s="70">
        <f>+(Tabla6[[#This Row],[TONELADAS]]-Tabla6[[#This Row],[TONS]])/Tabla6[[#This Row],[TONS]]</f>
        <v>0</v>
      </c>
      <c r="J37" s="12"/>
      <c r="L37" s="13"/>
      <c r="M37" s="4"/>
      <c r="N37" s="4"/>
      <c r="O37" s="4"/>
      <c r="P37" s="4"/>
      <c r="Q37" s="4"/>
      <c r="R37" s="4"/>
      <c r="S37" s="4"/>
    </row>
    <row r="38" spans="2:19" ht="20.100000000000001" customHeight="1" x14ac:dyDescent="0.2">
      <c r="B38" s="66" t="s">
        <v>101</v>
      </c>
      <c r="C38" s="67">
        <v>0</v>
      </c>
      <c r="D38" s="67">
        <v>0</v>
      </c>
      <c r="E38" s="67">
        <v>0</v>
      </c>
      <c r="F38" s="68">
        <v>42</v>
      </c>
      <c r="G38" s="69">
        <v>4410</v>
      </c>
      <c r="H38" s="69">
        <v>45</v>
      </c>
      <c r="I38" s="71" t="s">
        <v>37</v>
      </c>
      <c r="J38" s="12"/>
      <c r="L38" s="13"/>
      <c r="M38" s="4"/>
      <c r="N38" s="4"/>
      <c r="O38" s="4"/>
      <c r="P38" s="4"/>
      <c r="Q38" s="4"/>
      <c r="R38" s="4"/>
      <c r="S38" s="4"/>
    </row>
    <row r="39" spans="2:19" ht="20.100000000000001" customHeight="1" x14ac:dyDescent="0.2">
      <c r="B39" s="66" t="s">
        <v>102</v>
      </c>
      <c r="C39" s="67">
        <v>165</v>
      </c>
      <c r="D39" s="67">
        <v>17196</v>
      </c>
      <c r="E39" s="67">
        <v>188</v>
      </c>
      <c r="F39" s="68">
        <v>141</v>
      </c>
      <c r="G39" s="69">
        <v>16605</v>
      </c>
      <c r="H39" s="69">
        <v>188</v>
      </c>
      <c r="I39" s="70">
        <f>+(Tabla6[[#This Row],[TONELADAS]]-Tabla6[[#This Row],[TONS]])/Tabla6[[#This Row],[TONS]]</f>
        <v>0</v>
      </c>
      <c r="J39" s="12"/>
      <c r="L39" s="13"/>
      <c r="M39" s="4"/>
      <c r="N39" s="4"/>
      <c r="O39" s="4"/>
      <c r="P39" s="4"/>
      <c r="Q39" s="4"/>
      <c r="R39" s="4"/>
      <c r="S39" s="4"/>
    </row>
    <row r="40" spans="2:19" ht="20.100000000000001" customHeight="1" x14ac:dyDescent="0.2">
      <c r="B40" s="66" t="s">
        <v>103</v>
      </c>
      <c r="C40" s="67">
        <v>304</v>
      </c>
      <c r="D40" s="67">
        <v>19133</v>
      </c>
      <c r="E40" s="67">
        <v>388</v>
      </c>
      <c r="F40" s="68">
        <v>162</v>
      </c>
      <c r="G40" s="69">
        <v>8161</v>
      </c>
      <c r="H40" s="69">
        <v>199</v>
      </c>
      <c r="I40" s="70">
        <f>+(Tabla6[[#This Row],[TONELADAS]]-Tabla6[[#This Row],[TONS]])/Tabla6[[#This Row],[TONS]]</f>
        <v>-0.48711340206185566</v>
      </c>
      <c r="J40" s="12"/>
      <c r="L40" s="13"/>
      <c r="M40" s="4"/>
      <c r="N40" s="4"/>
      <c r="O40" s="4"/>
      <c r="P40" s="4"/>
      <c r="Q40" s="4"/>
      <c r="R40" s="4"/>
      <c r="S40" s="4"/>
    </row>
    <row r="41" spans="2:19" ht="20.100000000000001" customHeight="1" x14ac:dyDescent="0.2">
      <c r="B41" s="66" t="s">
        <v>85</v>
      </c>
      <c r="C41" s="67">
        <v>288</v>
      </c>
      <c r="D41" s="67">
        <v>32131</v>
      </c>
      <c r="E41" s="67">
        <v>364</v>
      </c>
      <c r="F41" s="68">
        <v>186</v>
      </c>
      <c r="G41" s="69">
        <v>20577</v>
      </c>
      <c r="H41" s="69">
        <v>219</v>
      </c>
      <c r="I41" s="70">
        <f>+(Tabla6[[#This Row],[TONELADAS]]-Tabla6[[#This Row],[TONS]])/Tabla6[[#This Row],[TONS]]</f>
        <v>-0.39835164835164832</v>
      </c>
      <c r="J41" s="12"/>
      <c r="L41" s="13"/>
      <c r="M41" s="4"/>
      <c r="N41" s="4"/>
      <c r="O41" s="4"/>
      <c r="P41" s="4"/>
      <c r="Q41" s="4"/>
      <c r="R41" s="4"/>
      <c r="S41" s="4"/>
    </row>
    <row r="42" spans="2:19" ht="20.100000000000001" customHeight="1" x14ac:dyDescent="0.2">
      <c r="B42" s="66" t="s">
        <v>104</v>
      </c>
      <c r="C42" s="67">
        <v>2556</v>
      </c>
      <c r="D42" s="67">
        <v>221497</v>
      </c>
      <c r="E42" s="67">
        <v>3199</v>
      </c>
      <c r="F42" s="68">
        <v>807</v>
      </c>
      <c r="G42" s="69">
        <v>68709</v>
      </c>
      <c r="H42" s="69">
        <v>980</v>
      </c>
      <c r="I42" s="70">
        <f>+(Tabla6[[#This Row],[TONELADAS]]-Tabla6[[#This Row],[TONS]])/Tabla6[[#This Row],[TONS]]</f>
        <v>-0.69365426695842447</v>
      </c>
      <c r="J42" s="12"/>
      <c r="L42" s="13"/>
      <c r="M42" s="4"/>
      <c r="N42" s="4"/>
      <c r="O42" s="4"/>
      <c r="P42" s="4"/>
      <c r="Q42" s="4"/>
      <c r="R42" s="4"/>
      <c r="S42" s="4"/>
    </row>
    <row r="43" spans="2:19" ht="20.100000000000001" customHeight="1" x14ac:dyDescent="0.2">
      <c r="B43" s="66" t="s">
        <v>105</v>
      </c>
      <c r="C43" s="67">
        <v>0</v>
      </c>
      <c r="D43" s="67">
        <v>0</v>
      </c>
      <c r="E43" s="67">
        <v>0</v>
      </c>
      <c r="F43" s="68">
        <v>189</v>
      </c>
      <c r="G43" s="69">
        <v>10584</v>
      </c>
      <c r="H43" s="69">
        <v>201</v>
      </c>
      <c r="I43" s="71" t="s">
        <v>37</v>
      </c>
      <c r="J43" s="12"/>
      <c r="L43" s="13"/>
      <c r="M43" s="4"/>
      <c r="N43" s="4"/>
      <c r="O43" s="4"/>
      <c r="P43" s="4"/>
      <c r="Q43" s="4"/>
      <c r="R43" s="4"/>
      <c r="S43" s="4"/>
    </row>
    <row r="44" spans="2:19" ht="20.100000000000001" customHeight="1" x14ac:dyDescent="0.2">
      <c r="B44" s="66" t="s">
        <v>106</v>
      </c>
      <c r="C44" s="67">
        <v>524</v>
      </c>
      <c r="D44" s="67">
        <v>36131</v>
      </c>
      <c r="E44" s="67">
        <v>628</v>
      </c>
      <c r="F44" s="68">
        <v>144</v>
      </c>
      <c r="G44" s="69">
        <v>9255</v>
      </c>
      <c r="H44" s="69">
        <v>176</v>
      </c>
      <c r="I44" s="70">
        <f>+(Tabla6[[#This Row],[TONELADAS]]-Tabla6[[#This Row],[TONS]])/Tabla6[[#This Row],[TONS]]</f>
        <v>-0.71974522292993626</v>
      </c>
      <c r="J44" s="12"/>
      <c r="L44" s="13"/>
      <c r="M44" s="4"/>
      <c r="N44" s="4"/>
      <c r="O44" s="4"/>
      <c r="P44" s="4"/>
      <c r="Q44" s="4"/>
      <c r="R44" s="4"/>
      <c r="S44" s="4"/>
    </row>
    <row r="45" spans="2:19" ht="20.100000000000001" customHeight="1" x14ac:dyDescent="0.2">
      <c r="B45" s="66" t="s">
        <v>107</v>
      </c>
      <c r="C45" s="67">
        <v>21</v>
      </c>
      <c r="D45" s="67">
        <v>1575</v>
      </c>
      <c r="E45" s="67">
        <v>20</v>
      </c>
      <c r="F45" s="68">
        <v>42</v>
      </c>
      <c r="G45" s="69">
        <v>2751</v>
      </c>
      <c r="H45" s="69">
        <v>43</v>
      </c>
      <c r="I45" s="70">
        <f>+(Tabla6[[#This Row],[TONELADAS]]-Tabla6[[#This Row],[TONS]])/Tabla6[[#This Row],[TONS]]</f>
        <v>1.1499999999999999</v>
      </c>
      <c r="J45" s="12"/>
      <c r="L45" s="13"/>
      <c r="M45" s="4"/>
      <c r="N45" s="4"/>
      <c r="O45" s="4"/>
      <c r="P45" s="4"/>
      <c r="Q45" s="4"/>
      <c r="R45" s="4"/>
      <c r="S45" s="4"/>
    </row>
    <row r="46" spans="2:19" ht="20.100000000000001" customHeight="1" x14ac:dyDescent="0.2">
      <c r="B46" s="66" t="s">
        <v>108</v>
      </c>
      <c r="C46" s="67">
        <v>546</v>
      </c>
      <c r="D46" s="67">
        <v>40800</v>
      </c>
      <c r="E46" s="67">
        <v>672</v>
      </c>
      <c r="F46" s="68">
        <v>546</v>
      </c>
      <c r="G46" s="69">
        <v>35868</v>
      </c>
      <c r="H46" s="69">
        <v>698</v>
      </c>
      <c r="I46" s="70">
        <f>+(Tabla6[[#This Row],[TONELADAS]]-Tabla6[[#This Row],[TONS]])/Tabla6[[#This Row],[TONS]]</f>
        <v>3.8690476190476192E-2</v>
      </c>
      <c r="J46" s="12"/>
      <c r="L46" s="13"/>
      <c r="M46" s="4"/>
      <c r="N46" s="4"/>
      <c r="O46" s="4"/>
      <c r="P46" s="4"/>
      <c r="Q46" s="4"/>
      <c r="R46" s="4"/>
      <c r="S46" s="4"/>
    </row>
    <row r="47" spans="2:19" ht="20.100000000000001" customHeight="1" x14ac:dyDescent="0.2">
      <c r="B47" s="66" t="s">
        <v>109</v>
      </c>
      <c r="C47" s="67">
        <v>5686</v>
      </c>
      <c r="D47" s="67">
        <v>492192</v>
      </c>
      <c r="E47" s="67">
        <v>7199</v>
      </c>
      <c r="F47" s="68">
        <v>2870</v>
      </c>
      <c r="G47" s="69">
        <v>254125</v>
      </c>
      <c r="H47" s="69">
        <v>3441</v>
      </c>
      <c r="I47" s="70">
        <f>+(Tabla6[[#This Row],[TONELADAS]]-Tabla6[[#This Row],[TONS]])/Tabla6[[#This Row],[TONS]]</f>
        <v>-0.52201694679816646</v>
      </c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B48" s="66" t="s">
        <v>110</v>
      </c>
      <c r="C48" s="67">
        <v>0</v>
      </c>
      <c r="D48" s="67">
        <v>0</v>
      </c>
      <c r="E48" s="67">
        <v>0</v>
      </c>
      <c r="F48" s="68">
        <v>21</v>
      </c>
      <c r="G48" s="69">
        <v>2205</v>
      </c>
      <c r="H48" s="69">
        <v>22</v>
      </c>
      <c r="I48" s="71" t="s">
        <v>37</v>
      </c>
      <c r="J48" s="12"/>
      <c r="L48" s="13"/>
      <c r="M48" s="4"/>
      <c r="N48" s="4"/>
      <c r="O48" s="4"/>
      <c r="P48" s="4"/>
      <c r="Q48" s="4"/>
      <c r="R48" s="4"/>
      <c r="S48" s="4"/>
    </row>
    <row r="49" spans="2:19" ht="20.100000000000001" customHeight="1" x14ac:dyDescent="0.2">
      <c r="B49" s="66" t="s">
        <v>111</v>
      </c>
      <c r="C49" s="67">
        <v>126</v>
      </c>
      <c r="D49" s="67">
        <v>14112</v>
      </c>
      <c r="E49" s="67">
        <v>156</v>
      </c>
      <c r="F49" s="68">
        <v>42</v>
      </c>
      <c r="G49" s="69">
        <v>4704</v>
      </c>
      <c r="H49" s="69">
        <v>48</v>
      </c>
      <c r="I49" s="70">
        <f>+(Tabla6[[#This Row],[TONELADAS]]-Tabla6[[#This Row],[TONS]])/Tabla6[[#This Row],[TONS]]</f>
        <v>-0.69230769230769229</v>
      </c>
      <c r="J49" s="12"/>
      <c r="L49" s="13"/>
      <c r="M49" s="4"/>
      <c r="N49" s="4"/>
      <c r="O49" s="4"/>
      <c r="P49" s="4"/>
      <c r="Q49" s="4"/>
      <c r="R49" s="4"/>
      <c r="S49" s="4"/>
    </row>
    <row r="50" spans="2:19" ht="20.100000000000001" customHeight="1" x14ac:dyDescent="0.2">
      <c r="B50" s="66" t="s">
        <v>112</v>
      </c>
      <c r="C50" s="67">
        <v>336</v>
      </c>
      <c r="D50" s="67">
        <v>18816</v>
      </c>
      <c r="E50" s="67">
        <v>358</v>
      </c>
      <c r="F50" s="68">
        <v>105</v>
      </c>
      <c r="G50" s="69">
        <v>5880</v>
      </c>
      <c r="H50" s="69">
        <v>112</v>
      </c>
      <c r="I50" s="70">
        <f>+(Tabla6[[#This Row],[TONELADAS]]-Tabla6[[#This Row],[TONS]])/Tabla6[[#This Row],[TONS]]</f>
        <v>-0.68715083798882681</v>
      </c>
      <c r="J50" s="12"/>
      <c r="L50" s="13"/>
      <c r="M50" s="4"/>
      <c r="N50" s="4"/>
      <c r="O50" s="4"/>
      <c r="P50" s="4"/>
      <c r="Q50" s="4"/>
      <c r="R50" s="4"/>
      <c r="S50" s="4"/>
    </row>
    <row r="51" spans="2:19" ht="20.100000000000001" customHeight="1" x14ac:dyDescent="0.2">
      <c r="B51" s="66" t="s">
        <v>113</v>
      </c>
      <c r="C51" s="67">
        <v>204</v>
      </c>
      <c r="D51" s="67">
        <v>12240</v>
      </c>
      <c r="E51" s="67">
        <v>307</v>
      </c>
      <c r="F51" s="68">
        <v>144</v>
      </c>
      <c r="G51" s="69">
        <v>8640</v>
      </c>
      <c r="H51" s="69">
        <v>217</v>
      </c>
      <c r="I51" s="70">
        <f>+(Tabla6[[#This Row],[TONELADAS]]-Tabla6[[#This Row],[TONS]])/Tabla6[[#This Row],[TONS]]</f>
        <v>-0.29315960912052119</v>
      </c>
      <c r="J51" s="12"/>
      <c r="L51" s="13"/>
      <c r="M51" s="4"/>
      <c r="N51" s="4"/>
      <c r="O51" s="4"/>
      <c r="P51" s="4"/>
      <c r="Q51" s="4"/>
      <c r="R51" s="4"/>
      <c r="S51" s="4"/>
    </row>
    <row r="52" spans="2:19" ht="20.100000000000001" customHeight="1" x14ac:dyDescent="0.2">
      <c r="B52" s="66" t="s">
        <v>114</v>
      </c>
      <c r="C52" s="67">
        <v>40</v>
      </c>
      <c r="D52" s="67">
        <v>4800</v>
      </c>
      <c r="E52" s="67">
        <v>49</v>
      </c>
      <c r="F52" s="68">
        <v>40</v>
      </c>
      <c r="G52" s="69">
        <v>4800</v>
      </c>
      <c r="H52" s="69">
        <v>55</v>
      </c>
      <c r="I52" s="70">
        <f>+(Tabla6[[#This Row],[TONELADAS]]-Tabla6[[#This Row],[TONS]])/Tabla6[[#This Row],[TONS]]</f>
        <v>0.12244897959183673</v>
      </c>
      <c r="J52" s="12"/>
      <c r="L52" s="13"/>
      <c r="M52" s="4"/>
      <c r="N52" s="4"/>
      <c r="O52" s="4"/>
      <c r="P52" s="4"/>
      <c r="Q52" s="4"/>
      <c r="R52" s="4"/>
      <c r="S52" s="4"/>
    </row>
    <row r="53" spans="2:19" ht="20.100000000000001" customHeight="1" x14ac:dyDescent="0.2">
      <c r="B53" s="66" t="s">
        <v>115</v>
      </c>
      <c r="C53" s="67">
        <v>18</v>
      </c>
      <c r="D53" s="67">
        <v>18</v>
      </c>
      <c r="E53" s="67">
        <v>27</v>
      </c>
      <c r="F53" s="68">
        <v>0</v>
      </c>
      <c r="G53" s="69">
        <v>0</v>
      </c>
      <c r="H53" s="69">
        <v>0</v>
      </c>
      <c r="I53" s="70">
        <f>+(Tabla6[[#This Row],[TONELADAS]]-Tabla6[[#This Row],[TONS]])/Tabla6[[#This Row],[TONS]]</f>
        <v>-1</v>
      </c>
      <c r="J53" s="12"/>
      <c r="L53" s="13"/>
      <c r="M53" s="4"/>
      <c r="N53" s="4"/>
      <c r="O53" s="4"/>
      <c r="P53" s="4"/>
      <c r="Q53" s="4"/>
      <c r="R53" s="4"/>
      <c r="S53" s="4"/>
    </row>
    <row r="54" spans="2:19" ht="20.100000000000001" customHeight="1" x14ac:dyDescent="0.2">
      <c r="B54" s="66" t="s">
        <v>116</v>
      </c>
      <c r="C54" s="67">
        <v>9691</v>
      </c>
      <c r="D54" s="67">
        <v>797157</v>
      </c>
      <c r="E54" s="67">
        <v>10997</v>
      </c>
      <c r="F54" s="68">
        <v>5581</v>
      </c>
      <c r="G54" s="69">
        <v>460939</v>
      </c>
      <c r="H54" s="69">
        <v>6178</v>
      </c>
      <c r="I54" s="70">
        <f>+(Tabla6[[#This Row],[TONELADAS]]-Tabla6[[#This Row],[TONS]])/Tabla6[[#This Row],[TONS]]</f>
        <v>-0.43821042102391561</v>
      </c>
      <c r="J54" s="12"/>
      <c r="L54" s="13"/>
      <c r="M54" s="4"/>
      <c r="N54" s="4"/>
      <c r="O54" s="4"/>
      <c r="P54" s="4"/>
      <c r="Q54" s="4"/>
      <c r="R54" s="4"/>
      <c r="S54" s="4"/>
    </row>
    <row r="55" spans="2:19" ht="20.100000000000001" customHeight="1" x14ac:dyDescent="0.2">
      <c r="B55" s="66" t="s">
        <v>117</v>
      </c>
      <c r="C55" s="67">
        <v>0</v>
      </c>
      <c r="D55" s="67">
        <v>0</v>
      </c>
      <c r="E55" s="67">
        <v>0</v>
      </c>
      <c r="F55" s="68">
        <v>66</v>
      </c>
      <c r="G55" s="69">
        <v>66</v>
      </c>
      <c r="H55" s="69">
        <v>84</v>
      </c>
      <c r="I55" s="71" t="s">
        <v>37</v>
      </c>
      <c r="J55" s="12"/>
      <c r="L55" s="13"/>
      <c r="M55" s="4"/>
      <c r="N55" s="4"/>
      <c r="O55" s="4"/>
      <c r="P55" s="4"/>
      <c r="Q55" s="4"/>
      <c r="R55" s="4"/>
      <c r="S55" s="4"/>
    </row>
    <row r="56" spans="2:19" ht="20.100000000000001" customHeight="1" x14ac:dyDescent="0.2">
      <c r="B56" s="66" t="s">
        <v>118</v>
      </c>
      <c r="C56" s="67">
        <v>21</v>
      </c>
      <c r="D56" s="67">
        <v>2205</v>
      </c>
      <c r="E56" s="67">
        <v>22</v>
      </c>
      <c r="F56" s="68">
        <v>21</v>
      </c>
      <c r="G56" s="69">
        <v>2205</v>
      </c>
      <c r="H56" s="69">
        <v>22</v>
      </c>
      <c r="I56" s="70">
        <f>+(Tabla6[[#This Row],[TONELADAS]]-Tabla6[[#This Row],[TONS]])/Tabla6[[#This Row],[TONS]]</f>
        <v>0</v>
      </c>
      <c r="J56" s="12"/>
      <c r="L56" s="13"/>
      <c r="M56" s="4"/>
      <c r="N56" s="4"/>
      <c r="O56" s="4"/>
      <c r="P56" s="4"/>
      <c r="Q56" s="4"/>
      <c r="R56" s="4"/>
      <c r="S56" s="4"/>
    </row>
    <row r="57" spans="2:19" ht="20.100000000000001" customHeight="1" x14ac:dyDescent="0.2">
      <c r="B57" s="66" t="s">
        <v>119</v>
      </c>
      <c r="C57" s="67">
        <v>3837</v>
      </c>
      <c r="D57" s="67">
        <v>265585</v>
      </c>
      <c r="E57" s="67">
        <v>4663</v>
      </c>
      <c r="F57" s="68">
        <f>5277+1410</f>
        <v>6687</v>
      </c>
      <c r="G57" s="69">
        <f>342450+1418</f>
        <v>343868</v>
      </c>
      <c r="H57" s="69">
        <f>6185+2278</f>
        <v>8463</v>
      </c>
      <c r="I57" s="70">
        <f>+(Tabla6[[#This Row],[TONELADAS]]-Tabla6[[#This Row],[TONS]])/Tabla6[[#This Row],[TONS]]</f>
        <v>0.81492601329616132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44" t="s">
        <v>19</v>
      </c>
      <c r="C58" s="45">
        <f t="shared" ref="C58:H58" si="2">SUM(C32:C57)</f>
        <v>26882</v>
      </c>
      <c r="D58" s="45">
        <f t="shared" si="2"/>
        <v>2139420</v>
      </c>
      <c r="E58" s="45">
        <f t="shared" si="2"/>
        <v>32425</v>
      </c>
      <c r="F58" s="46">
        <f t="shared" si="2"/>
        <v>22072</v>
      </c>
      <c r="G58" s="47">
        <f t="shared" si="2"/>
        <v>1354871</v>
      </c>
      <c r="H58" s="47">
        <f t="shared" si="2"/>
        <v>26936</v>
      </c>
      <c r="I58" s="81">
        <f>+(H58-E58)/E58</f>
        <v>-0.16928296067848883</v>
      </c>
    </row>
    <row r="59" spans="2:19" ht="16.5" customHeight="1" x14ac:dyDescent="0.2">
      <c r="B59" s="48"/>
      <c r="C59" s="49"/>
      <c r="D59" s="49"/>
      <c r="E59" s="49"/>
      <c r="F59" s="50"/>
      <c r="G59" s="90" t="s">
        <v>16</v>
      </c>
      <c r="H59" s="90"/>
      <c r="I59" s="51">
        <f>+(F58-C58)/C58</f>
        <v>-0.17893013912655309</v>
      </c>
    </row>
  </sheetData>
  <mergeCells count="4">
    <mergeCell ref="G28:H28"/>
    <mergeCell ref="G59:H59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23 I35:I55 I16:I17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61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1.7109375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1" t="s">
        <v>29</v>
      </c>
      <c r="C10" s="91"/>
      <c r="D10" s="91"/>
      <c r="E10" s="91"/>
      <c r="F10" s="91"/>
      <c r="G10" s="91"/>
      <c r="H10" s="91"/>
      <c r="I10" s="91"/>
      <c r="J10" s="91"/>
    </row>
    <row r="11" spans="2:10" s="1" customFormat="1" ht="12.75" x14ac:dyDescent="0.2">
      <c r="B11" s="9"/>
      <c r="C11" s="9"/>
      <c r="D11" s="9"/>
      <c r="E11" s="9"/>
      <c r="G11" s="92" t="str">
        <f>+CONCATENATE(MID(Principal!C13,1,14)," de ambas temporadas")</f>
        <v>datos al 28/02 de ambas temporadas</v>
      </c>
      <c r="H11" s="92"/>
      <c r="I11" s="92"/>
      <c r="J11" s="92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120</v>
      </c>
      <c r="C16" s="66" t="s">
        <v>90</v>
      </c>
      <c r="D16" s="67">
        <v>20</v>
      </c>
      <c r="E16" s="67">
        <v>2400</v>
      </c>
      <c r="F16" s="67">
        <v>24</v>
      </c>
      <c r="G16" s="72">
        <v>0</v>
      </c>
      <c r="H16" s="73">
        <v>0</v>
      </c>
      <c r="I16" s="73">
        <v>0</v>
      </c>
      <c r="J16" s="71">
        <f>(+I16-F16)/F16</f>
        <v>-1</v>
      </c>
    </row>
    <row r="17" spans="2:10" s="22" customFormat="1" ht="20.100000000000001" customHeight="1" x14ac:dyDescent="0.2">
      <c r="B17" s="66" t="s">
        <v>95</v>
      </c>
      <c r="C17" s="66" t="s">
        <v>90</v>
      </c>
      <c r="D17" s="67">
        <v>203</v>
      </c>
      <c r="E17" s="67">
        <v>18313</v>
      </c>
      <c r="F17" s="67">
        <v>225</v>
      </c>
      <c r="G17" s="68">
        <v>180</v>
      </c>
      <c r="H17" s="69">
        <v>19380</v>
      </c>
      <c r="I17" s="69">
        <v>197</v>
      </c>
      <c r="J17" s="71">
        <f>(+I17-F17)/F17</f>
        <v>-0.12444444444444444</v>
      </c>
    </row>
    <row r="18" spans="2:10" s="22" customFormat="1" ht="20.100000000000001" customHeight="1" x14ac:dyDescent="0.2">
      <c r="B18" s="66" t="s">
        <v>96</v>
      </c>
      <c r="C18" s="66" t="s">
        <v>86</v>
      </c>
      <c r="D18" s="67">
        <v>20</v>
      </c>
      <c r="E18" s="67">
        <v>2400</v>
      </c>
      <c r="F18" s="67">
        <v>24</v>
      </c>
      <c r="G18" s="68">
        <v>0</v>
      </c>
      <c r="H18" s="69">
        <v>0</v>
      </c>
      <c r="I18" s="69">
        <v>0</v>
      </c>
      <c r="J18" s="71">
        <f>(+I18-F18)/F18</f>
        <v>-1</v>
      </c>
    </row>
    <row r="19" spans="2:10" s="22" customFormat="1" ht="20.100000000000001" customHeight="1" x14ac:dyDescent="0.2">
      <c r="B19" s="66" t="s">
        <v>96</v>
      </c>
      <c r="C19" s="66" t="s">
        <v>88</v>
      </c>
      <c r="D19" s="67">
        <v>63</v>
      </c>
      <c r="E19" s="67">
        <v>3416</v>
      </c>
      <c r="F19" s="67">
        <v>65</v>
      </c>
      <c r="G19" s="68">
        <v>0</v>
      </c>
      <c r="H19" s="69">
        <v>0</v>
      </c>
      <c r="I19" s="69">
        <v>0</v>
      </c>
      <c r="J19" s="71">
        <f>(+I19-F19)/F19</f>
        <v>-1</v>
      </c>
    </row>
    <row r="20" spans="2:10" s="22" customFormat="1" ht="20.100000000000001" customHeight="1" x14ac:dyDescent="0.2">
      <c r="B20" s="66" t="s">
        <v>96</v>
      </c>
      <c r="C20" s="66" t="s">
        <v>90</v>
      </c>
      <c r="D20" s="67">
        <v>1506</v>
      </c>
      <c r="E20" s="67">
        <v>95303</v>
      </c>
      <c r="F20" s="67">
        <v>1937</v>
      </c>
      <c r="G20" s="68">
        <v>0</v>
      </c>
      <c r="H20" s="69">
        <v>0</v>
      </c>
      <c r="I20" s="69">
        <v>0</v>
      </c>
      <c r="J20" s="71">
        <f>(+I20-F20)/F20</f>
        <v>-1</v>
      </c>
    </row>
    <row r="21" spans="2:10" s="22" customFormat="1" ht="20.100000000000001" customHeight="1" x14ac:dyDescent="0.2">
      <c r="B21" s="66" t="s">
        <v>96</v>
      </c>
      <c r="C21" s="66" t="s">
        <v>91</v>
      </c>
      <c r="D21" s="67">
        <v>0</v>
      </c>
      <c r="E21" s="67">
        <v>0</v>
      </c>
      <c r="F21" s="67">
        <v>0</v>
      </c>
      <c r="G21" s="68">
        <v>2838</v>
      </c>
      <c r="H21" s="69">
        <v>4890</v>
      </c>
      <c r="I21" s="69">
        <v>3621</v>
      </c>
      <c r="J21" s="71" t="s">
        <v>37</v>
      </c>
    </row>
    <row r="22" spans="2:10" s="22" customFormat="1" ht="20.100000000000001" customHeight="1" x14ac:dyDescent="0.2">
      <c r="B22" s="66" t="s">
        <v>96</v>
      </c>
      <c r="C22" s="66" t="s">
        <v>92</v>
      </c>
      <c r="D22" s="67">
        <v>216</v>
      </c>
      <c r="E22" s="67">
        <v>12960</v>
      </c>
      <c r="F22" s="67">
        <v>325</v>
      </c>
      <c r="G22" s="68">
        <v>792</v>
      </c>
      <c r="H22" s="69">
        <v>47520</v>
      </c>
      <c r="I22" s="69">
        <v>1193</v>
      </c>
      <c r="J22" s="71">
        <f>(+I22-F22)/F22</f>
        <v>2.6707692307692308</v>
      </c>
    </row>
    <row r="23" spans="2:10" s="22" customFormat="1" ht="20.100000000000001" customHeight="1" x14ac:dyDescent="0.2">
      <c r="B23" s="66" t="s">
        <v>96</v>
      </c>
      <c r="C23" s="66" t="s">
        <v>93</v>
      </c>
      <c r="D23" s="67">
        <v>20</v>
      </c>
      <c r="E23" s="67">
        <v>20</v>
      </c>
      <c r="F23" s="67">
        <v>30</v>
      </c>
      <c r="G23" s="68">
        <v>0</v>
      </c>
      <c r="H23" s="69">
        <v>0</v>
      </c>
      <c r="I23" s="69">
        <v>0</v>
      </c>
      <c r="J23" s="71">
        <f>(+I23-F23)/F23</f>
        <v>-1</v>
      </c>
    </row>
    <row r="24" spans="2:10" s="22" customFormat="1" ht="20.100000000000001" customHeight="1" x14ac:dyDescent="0.2">
      <c r="B24" s="66" t="s">
        <v>97</v>
      </c>
      <c r="C24" s="66" t="s">
        <v>90</v>
      </c>
      <c r="D24" s="67">
        <v>450</v>
      </c>
      <c r="E24" s="67">
        <v>26815</v>
      </c>
      <c r="F24" s="67">
        <v>536</v>
      </c>
      <c r="G24" s="68">
        <v>201</v>
      </c>
      <c r="H24" s="69">
        <v>12072</v>
      </c>
      <c r="I24" s="69">
        <v>237</v>
      </c>
      <c r="J24" s="71">
        <f>(+I24-F24)/F24</f>
        <v>-0.55783582089552242</v>
      </c>
    </row>
    <row r="25" spans="2:10" s="22" customFormat="1" ht="20.100000000000001" customHeight="1" x14ac:dyDescent="0.2">
      <c r="B25" s="66" t="s">
        <v>98</v>
      </c>
      <c r="C25" s="66" t="s">
        <v>92</v>
      </c>
      <c r="D25" s="67">
        <v>0</v>
      </c>
      <c r="E25" s="67">
        <v>0</v>
      </c>
      <c r="F25" s="67">
        <v>0</v>
      </c>
      <c r="G25" s="68">
        <v>72</v>
      </c>
      <c r="H25" s="69">
        <v>4320</v>
      </c>
      <c r="I25" s="69">
        <v>108</v>
      </c>
      <c r="J25" s="71" t="s">
        <v>37</v>
      </c>
    </row>
    <row r="26" spans="2:10" s="22" customFormat="1" ht="20.100000000000001" customHeight="1" x14ac:dyDescent="0.2">
      <c r="B26" s="66" t="s">
        <v>99</v>
      </c>
      <c r="C26" s="66" t="s">
        <v>93</v>
      </c>
      <c r="D26" s="67">
        <v>0</v>
      </c>
      <c r="E26" s="67">
        <v>0</v>
      </c>
      <c r="F26" s="67">
        <v>0</v>
      </c>
      <c r="G26" s="68">
        <v>132</v>
      </c>
      <c r="H26" s="69">
        <v>132</v>
      </c>
      <c r="I26" s="69">
        <v>168</v>
      </c>
      <c r="J26" s="71" t="s">
        <v>37</v>
      </c>
    </row>
    <row r="27" spans="2:10" s="22" customFormat="1" ht="20.100000000000001" customHeight="1" x14ac:dyDescent="0.2">
      <c r="B27" s="66" t="s">
        <v>100</v>
      </c>
      <c r="C27" s="66" t="s">
        <v>90</v>
      </c>
      <c r="D27" s="67">
        <v>21</v>
      </c>
      <c r="E27" s="67">
        <v>2205</v>
      </c>
      <c r="F27" s="67">
        <v>22</v>
      </c>
      <c r="G27" s="68">
        <v>21</v>
      </c>
      <c r="H27" s="69">
        <v>2205</v>
      </c>
      <c r="I27" s="69">
        <v>22</v>
      </c>
      <c r="J27" s="71">
        <f>(+I27-F27)/F27</f>
        <v>0</v>
      </c>
    </row>
    <row r="28" spans="2:10" s="22" customFormat="1" ht="20.100000000000001" customHeight="1" x14ac:dyDescent="0.2">
      <c r="B28" s="66" t="s">
        <v>101</v>
      </c>
      <c r="C28" s="66" t="s">
        <v>90</v>
      </c>
      <c r="D28" s="67">
        <v>0</v>
      </c>
      <c r="E28" s="67">
        <v>0</v>
      </c>
      <c r="F28" s="67">
        <v>0</v>
      </c>
      <c r="G28" s="68">
        <v>42</v>
      </c>
      <c r="H28" s="69">
        <v>4410</v>
      </c>
      <c r="I28" s="69">
        <v>45</v>
      </c>
      <c r="J28" s="71" t="s">
        <v>37</v>
      </c>
    </row>
    <row r="29" spans="2:10" s="22" customFormat="1" ht="20.100000000000001" customHeight="1" x14ac:dyDescent="0.2">
      <c r="B29" s="66" t="s">
        <v>102</v>
      </c>
      <c r="C29" s="66" t="s">
        <v>90</v>
      </c>
      <c r="D29" s="67">
        <v>165</v>
      </c>
      <c r="E29" s="67">
        <v>17196</v>
      </c>
      <c r="F29" s="67">
        <v>188</v>
      </c>
      <c r="G29" s="68">
        <v>141</v>
      </c>
      <c r="H29" s="69">
        <v>16605</v>
      </c>
      <c r="I29" s="69">
        <v>188</v>
      </c>
      <c r="J29" s="71">
        <f>(+I29-F29)/F29</f>
        <v>0</v>
      </c>
    </row>
    <row r="30" spans="2:10" s="22" customFormat="1" ht="20.100000000000001" customHeight="1" x14ac:dyDescent="0.2">
      <c r="B30" s="66" t="s">
        <v>103</v>
      </c>
      <c r="C30" s="66" t="s">
        <v>90</v>
      </c>
      <c r="D30" s="67">
        <v>304</v>
      </c>
      <c r="E30" s="67">
        <v>19133</v>
      </c>
      <c r="F30" s="67">
        <v>388</v>
      </c>
      <c r="G30" s="68">
        <v>162</v>
      </c>
      <c r="H30" s="69">
        <v>8161</v>
      </c>
      <c r="I30" s="69">
        <v>199</v>
      </c>
      <c r="J30" s="71">
        <f>(+I30-F30)/F30</f>
        <v>-0.48711340206185566</v>
      </c>
    </row>
    <row r="31" spans="2:10" s="22" customFormat="1" ht="20.100000000000001" customHeight="1" x14ac:dyDescent="0.2">
      <c r="B31" s="66" t="s">
        <v>85</v>
      </c>
      <c r="C31" s="66" t="s">
        <v>90</v>
      </c>
      <c r="D31" s="67">
        <v>288</v>
      </c>
      <c r="E31" s="67">
        <v>30148</v>
      </c>
      <c r="F31" s="67">
        <v>340</v>
      </c>
      <c r="G31" s="68">
        <v>186</v>
      </c>
      <c r="H31" s="69">
        <v>20577</v>
      </c>
      <c r="I31" s="69">
        <v>219</v>
      </c>
      <c r="J31" s="71">
        <f>(+I31-F31)/F31</f>
        <v>-0.35588235294117648</v>
      </c>
    </row>
    <row r="32" spans="2:10" s="22" customFormat="1" ht="20.100000000000001" customHeight="1" x14ac:dyDescent="0.2">
      <c r="B32" s="66" t="s">
        <v>85</v>
      </c>
      <c r="C32" s="66" t="s">
        <v>84</v>
      </c>
      <c r="D32" s="67">
        <v>0</v>
      </c>
      <c r="E32" s="67">
        <v>1983</v>
      </c>
      <c r="F32" s="67">
        <v>24</v>
      </c>
      <c r="G32" s="68">
        <v>0</v>
      </c>
      <c r="H32" s="69">
        <v>0</v>
      </c>
      <c r="I32" s="69">
        <v>0</v>
      </c>
      <c r="J32" s="71">
        <f>(+I32-F32)/F32</f>
        <v>-1</v>
      </c>
    </row>
    <row r="33" spans="2:10" s="22" customFormat="1" ht="20.100000000000001" customHeight="1" x14ac:dyDescent="0.2">
      <c r="B33" s="66" t="s">
        <v>104</v>
      </c>
      <c r="C33" s="66" t="s">
        <v>88</v>
      </c>
      <c r="D33" s="67">
        <v>21</v>
      </c>
      <c r="E33" s="67">
        <v>1176</v>
      </c>
      <c r="F33" s="67">
        <v>22</v>
      </c>
      <c r="G33" s="68">
        <v>0</v>
      </c>
      <c r="H33" s="69">
        <v>0</v>
      </c>
      <c r="I33" s="69">
        <v>0</v>
      </c>
      <c r="J33" s="71">
        <f>(+I33-F33)/F33</f>
        <v>-1</v>
      </c>
    </row>
    <row r="34" spans="2:10" s="22" customFormat="1" ht="20.100000000000001" customHeight="1" x14ac:dyDescent="0.2">
      <c r="B34" s="66" t="s">
        <v>104</v>
      </c>
      <c r="C34" s="66" t="s">
        <v>90</v>
      </c>
      <c r="D34" s="67">
        <v>2535</v>
      </c>
      <c r="E34" s="67">
        <v>220321</v>
      </c>
      <c r="F34" s="67">
        <v>3177</v>
      </c>
      <c r="G34" s="68">
        <v>807</v>
      </c>
      <c r="H34" s="69">
        <v>68709</v>
      </c>
      <c r="I34" s="69">
        <v>980</v>
      </c>
      <c r="J34" s="71">
        <f>(+I34-F34)/F34</f>
        <v>-0.69153289266603712</v>
      </c>
    </row>
    <row r="35" spans="2:10" s="22" customFormat="1" ht="20.100000000000001" customHeight="1" x14ac:dyDescent="0.2">
      <c r="B35" s="66" t="s">
        <v>105</v>
      </c>
      <c r="C35" s="66" t="s">
        <v>88</v>
      </c>
      <c r="D35" s="67">
        <v>0</v>
      </c>
      <c r="E35" s="67">
        <v>0</v>
      </c>
      <c r="F35" s="67">
        <v>0</v>
      </c>
      <c r="G35" s="68">
        <v>189</v>
      </c>
      <c r="H35" s="69">
        <v>10584</v>
      </c>
      <c r="I35" s="69">
        <v>201</v>
      </c>
      <c r="J35" s="71" t="s">
        <v>37</v>
      </c>
    </row>
    <row r="36" spans="2:10" s="22" customFormat="1" ht="20.100000000000001" customHeight="1" x14ac:dyDescent="0.2">
      <c r="B36" s="66" t="s">
        <v>106</v>
      </c>
      <c r="C36" s="66" t="s">
        <v>90</v>
      </c>
      <c r="D36" s="67">
        <v>524</v>
      </c>
      <c r="E36" s="67">
        <v>36131</v>
      </c>
      <c r="F36" s="67">
        <v>628</v>
      </c>
      <c r="G36" s="68">
        <v>144</v>
      </c>
      <c r="H36" s="69">
        <v>9255</v>
      </c>
      <c r="I36" s="69">
        <v>176</v>
      </c>
      <c r="J36" s="71">
        <f>(+I36-F36)/F36</f>
        <v>-0.71974522292993626</v>
      </c>
    </row>
    <row r="37" spans="2:10" s="22" customFormat="1" ht="20.100000000000001" customHeight="1" x14ac:dyDescent="0.2">
      <c r="B37" s="66" t="s">
        <v>107</v>
      </c>
      <c r="C37" s="66" t="s">
        <v>88</v>
      </c>
      <c r="D37" s="67">
        <v>0</v>
      </c>
      <c r="E37" s="67">
        <v>0</v>
      </c>
      <c r="F37" s="67">
        <v>0</v>
      </c>
      <c r="G37" s="68">
        <v>21</v>
      </c>
      <c r="H37" s="69">
        <v>1176</v>
      </c>
      <c r="I37" s="69">
        <v>22</v>
      </c>
      <c r="J37" s="71" t="s">
        <v>37</v>
      </c>
    </row>
    <row r="38" spans="2:10" s="22" customFormat="1" ht="20.100000000000001" customHeight="1" x14ac:dyDescent="0.2">
      <c r="B38" s="66" t="s">
        <v>107</v>
      </c>
      <c r="C38" s="66" t="s">
        <v>90</v>
      </c>
      <c r="D38" s="67">
        <v>21</v>
      </c>
      <c r="E38" s="67">
        <v>1575</v>
      </c>
      <c r="F38" s="67">
        <v>20</v>
      </c>
      <c r="G38" s="68">
        <v>21</v>
      </c>
      <c r="H38" s="69">
        <v>1575</v>
      </c>
      <c r="I38" s="69">
        <v>20</v>
      </c>
      <c r="J38" s="71">
        <f>(+I38-F38)/F38</f>
        <v>0</v>
      </c>
    </row>
    <row r="39" spans="2:10" s="22" customFormat="1" ht="20.100000000000001" customHeight="1" x14ac:dyDescent="0.2">
      <c r="B39" s="66" t="s">
        <v>108</v>
      </c>
      <c r="C39" s="66" t="s">
        <v>90</v>
      </c>
      <c r="D39" s="67">
        <v>546</v>
      </c>
      <c r="E39" s="67">
        <v>40800</v>
      </c>
      <c r="F39" s="67">
        <v>672</v>
      </c>
      <c r="G39" s="68">
        <v>546</v>
      </c>
      <c r="H39" s="69">
        <v>35868</v>
      </c>
      <c r="I39" s="69">
        <v>698</v>
      </c>
      <c r="J39" s="71">
        <f>(+I39-F39)/F39</f>
        <v>3.8690476190476192E-2</v>
      </c>
    </row>
    <row r="40" spans="2:10" s="22" customFormat="1" ht="20.100000000000001" customHeight="1" x14ac:dyDescent="0.2">
      <c r="B40" s="66" t="s">
        <v>109</v>
      </c>
      <c r="C40" s="66" t="s">
        <v>90</v>
      </c>
      <c r="D40" s="67">
        <v>5686</v>
      </c>
      <c r="E40" s="67">
        <v>478046</v>
      </c>
      <c r="F40" s="67">
        <v>7025</v>
      </c>
      <c r="G40" s="68">
        <v>2870</v>
      </c>
      <c r="H40" s="69">
        <v>254125</v>
      </c>
      <c r="I40" s="69">
        <v>3441</v>
      </c>
      <c r="J40" s="71">
        <f>(+I40-F40)/F40</f>
        <v>-0.51017793594306049</v>
      </c>
    </row>
    <row r="41" spans="2:10" s="22" customFormat="1" ht="20.100000000000001" customHeight="1" x14ac:dyDescent="0.2">
      <c r="B41" s="66" t="s">
        <v>109</v>
      </c>
      <c r="C41" s="66" t="s">
        <v>84</v>
      </c>
      <c r="D41" s="67">
        <v>0</v>
      </c>
      <c r="E41" s="67">
        <v>14146</v>
      </c>
      <c r="F41" s="67">
        <v>174</v>
      </c>
      <c r="G41" s="68">
        <v>0</v>
      </c>
      <c r="H41" s="69">
        <v>0</v>
      </c>
      <c r="I41" s="69">
        <v>0</v>
      </c>
      <c r="J41" s="71">
        <f>(+I41-F41)/F41</f>
        <v>-1</v>
      </c>
    </row>
    <row r="42" spans="2:10" s="22" customFormat="1" ht="20.100000000000001" customHeight="1" x14ac:dyDescent="0.2">
      <c r="B42" s="66" t="s">
        <v>110</v>
      </c>
      <c r="C42" s="66" t="s">
        <v>90</v>
      </c>
      <c r="D42" s="67">
        <v>0</v>
      </c>
      <c r="E42" s="67">
        <v>0</v>
      </c>
      <c r="F42" s="67">
        <v>0</v>
      </c>
      <c r="G42" s="68">
        <v>21</v>
      </c>
      <c r="H42" s="69">
        <v>2205</v>
      </c>
      <c r="I42" s="69">
        <v>22</v>
      </c>
      <c r="J42" s="71" t="s">
        <v>37</v>
      </c>
    </row>
    <row r="43" spans="2:10" s="22" customFormat="1" ht="20.100000000000001" customHeight="1" x14ac:dyDescent="0.2">
      <c r="B43" s="66" t="s">
        <v>111</v>
      </c>
      <c r="C43" s="66" t="s">
        <v>90</v>
      </c>
      <c r="D43" s="67">
        <v>126</v>
      </c>
      <c r="E43" s="67">
        <v>14112</v>
      </c>
      <c r="F43" s="67">
        <v>156</v>
      </c>
      <c r="G43" s="68">
        <v>42</v>
      </c>
      <c r="H43" s="69">
        <v>4704</v>
      </c>
      <c r="I43" s="69">
        <v>48</v>
      </c>
      <c r="J43" s="71">
        <f>(+I43-F43)/F43</f>
        <v>-0.69230769230769229</v>
      </c>
    </row>
    <row r="44" spans="2:10" s="22" customFormat="1" ht="20.100000000000001" customHeight="1" x14ac:dyDescent="0.2">
      <c r="B44" s="66" t="s">
        <v>112</v>
      </c>
      <c r="C44" s="66" t="s">
        <v>88</v>
      </c>
      <c r="D44" s="67">
        <v>336</v>
      </c>
      <c r="E44" s="67">
        <v>18816</v>
      </c>
      <c r="F44" s="67">
        <v>358</v>
      </c>
      <c r="G44" s="68">
        <v>105</v>
      </c>
      <c r="H44" s="69">
        <v>5880</v>
      </c>
      <c r="I44" s="69">
        <v>112</v>
      </c>
      <c r="J44" s="71">
        <f>(+I44-F44)/F44</f>
        <v>-0.68715083798882681</v>
      </c>
    </row>
    <row r="45" spans="2:10" s="22" customFormat="1" ht="20.100000000000001" customHeight="1" x14ac:dyDescent="0.2">
      <c r="B45" s="66" t="s">
        <v>113</v>
      </c>
      <c r="C45" s="66" t="s">
        <v>92</v>
      </c>
      <c r="D45" s="67">
        <v>204</v>
      </c>
      <c r="E45" s="67">
        <v>12240</v>
      </c>
      <c r="F45" s="67">
        <v>307</v>
      </c>
      <c r="G45" s="68">
        <v>144</v>
      </c>
      <c r="H45" s="69">
        <v>8640</v>
      </c>
      <c r="I45" s="69">
        <v>217</v>
      </c>
      <c r="J45" s="71">
        <f>(+I45-F45)/F45</f>
        <v>-0.29315960912052119</v>
      </c>
    </row>
    <row r="46" spans="2:10" s="22" customFormat="1" ht="20.100000000000001" customHeight="1" x14ac:dyDescent="0.2">
      <c r="B46" s="66" t="s">
        <v>114</v>
      </c>
      <c r="C46" s="66" t="s">
        <v>90</v>
      </c>
      <c r="D46" s="67">
        <v>40</v>
      </c>
      <c r="E46" s="67">
        <v>4800</v>
      </c>
      <c r="F46" s="67">
        <v>49</v>
      </c>
      <c r="G46" s="68">
        <v>40</v>
      </c>
      <c r="H46" s="69">
        <v>4800</v>
      </c>
      <c r="I46" s="69">
        <v>55</v>
      </c>
      <c r="J46" s="71">
        <f>(+I46-F46)/F46</f>
        <v>0.12244897959183673</v>
      </c>
    </row>
    <row r="47" spans="2:10" s="22" customFormat="1" ht="20.100000000000001" customHeight="1" x14ac:dyDescent="0.2">
      <c r="B47" s="66" t="s">
        <v>115</v>
      </c>
      <c r="C47" s="66" t="s">
        <v>93</v>
      </c>
      <c r="D47" s="67">
        <v>18</v>
      </c>
      <c r="E47" s="67">
        <v>18</v>
      </c>
      <c r="F47" s="67">
        <v>27</v>
      </c>
      <c r="G47" s="68">
        <v>0</v>
      </c>
      <c r="H47" s="69">
        <v>0</v>
      </c>
      <c r="I47" s="69">
        <v>0</v>
      </c>
      <c r="J47" s="71">
        <f>(+I47-F47)/F47</f>
        <v>-1</v>
      </c>
    </row>
    <row r="48" spans="2:10" s="22" customFormat="1" ht="20.100000000000001" customHeight="1" x14ac:dyDescent="0.2">
      <c r="B48" s="66" t="s">
        <v>116</v>
      </c>
      <c r="C48" s="66" t="s">
        <v>83</v>
      </c>
      <c r="D48" s="67">
        <v>20</v>
      </c>
      <c r="E48" s="67">
        <v>1420</v>
      </c>
      <c r="F48" s="67">
        <v>22</v>
      </c>
      <c r="G48" s="68">
        <v>0</v>
      </c>
      <c r="H48" s="69">
        <v>0</v>
      </c>
      <c r="I48" s="69">
        <v>0</v>
      </c>
      <c r="J48" s="71">
        <f>(+I48-F48)/F48</f>
        <v>-1</v>
      </c>
    </row>
    <row r="49" spans="2:10" s="22" customFormat="1" ht="20.100000000000001" customHeight="1" x14ac:dyDescent="0.2">
      <c r="B49" s="66" t="s">
        <v>116</v>
      </c>
      <c r="C49" s="66" t="s">
        <v>86</v>
      </c>
      <c r="D49" s="67">
        <v>269</v>
      </c>
      <c r="E49" s="67">
        <v>32656</v>
      </c>
      <c r="F49" s="67">
        <v>299</v>
      </c>
      <c r="G49" s="68">
        <v>142</v>
      </c>
      <c r="H49" s="69">
        <v>16904</v>
      </c>
      <c r="I49" s="69">
        <v>152</v>
      </c>
      <c r="J49" s="71">
        <f>(+I49-F49)/F49</f>
        <v>-0.49163879598662208</v>
      </c>
    </row>
    <row r="50" spans="2:10" s="22" customFormat="1" ht="20.100000000000001" customHeight="1" x14ac:dyDescent="0.2">
      <c r="B50" s="66" t="s">
        <v>116</v>
      </c>
      <c r="C50" s="66" t="s">
        <v>87</v>
      </c>
      <c r="D50" s="67">
        <v>40</v>
      </c>
      <c r="E50" s="67">
        <v>15262</v>
      </c>
      <c r="F50" s="67">
        <v>214</v>
      </c>
      <c r="G50" s="68">
        <v>140</v>
      </c>
      <c r="H50" s="69">
        <v>13482</v>
      </c>
      <c r="I50" s="69">
        <v>189</v>
      </c>
      <c r="J50" s="71">
        <f>(+I50-F50)/F50</f>
        <v>-0.11682242990654206</v>
      </c>
    </row>
    <row r="51" spans="2:10" s="22" customFormat="1" ht="20.100000000000001" customHeight="1" x14ac:dyDescent="0.2">
      <c r="B51" s="66" t="s">
        <v>116</v>
      </c>
      <c r="C51" s="66" t="s">
        <v>88</v>
      </c>
      <c r="D51" s="67">
        <v>42</v>
      </c>
      <c r="E51" s="67">
        <v>2058</v>
      </c>
      <c r="F51" s="67">
        <v>39</v>
      </c>
      <c r="G51" s="68">
        <v>191</v>
      </c>
      <c r="H51" s="69">
        <v>10157</v>
      </c>
      <c r="I51" s="69">
        <v>196</v>
      </c>
      <c r="J51" s="71">
        <f>(+I51-F51)/F51</f>
        <v>4.0256410256410255</v>
      </c>
    </row>
    <row r="52" spans="2:10" s="22" customFormat="1" ht="20.100000000000001" customHeight="1" x14ac:dyDescent="0.2">
      <c r="B52" s="66" t="s">
        <v>116</v>
      </c>
      <c r="C52" s="66" t="s">
        <v>89</v>
      </c>
      <c r="D52" s="67">
        <v>172</v>
      </c>
      <c r="E52" s="67">
        <v>20485</v>
      </c>
      <c r="F52" s="67">
        <v>189</v>
      </c>
      <c r="G52" s="68">
        <v>98</v>
      </c>
      <c r="H52" s="69">
        <v>12560</v>
      </c>
      <c r="I52" s="69">
        <v>113</v>
      </c>
      <c r="J52" s="71">
        <f>(+I52-F52)/F52</f>
        <v>-0.40211640211640209</v>
      </c>
    </row>
    <row r="53" spans="2:10" s="22" customFormat="1" ht="20.100000000000001" customHeight="1" x14ac:dyDescent="0.2">
      <c r="B53" s="66" t="s">
        <v>116</v>
      </c>
      <c r="C53" s="66" t="s">
        <v>90</v>
      </c>
      <c r="D53" s="67">
        <v>8828</v>
      </c>
      <c r="E53" s="67">
        <v>688946</v>
      </c>
      <c r="F53" s="67">
        <v>9908</v>
      </c>
      <c r="G53" s="68">
        <v>4990</v>
      </c>
      <c r="H53" s="69">
        <v>405556</v>
      </c>
      <c r="I53" s="69">
        <v>5507</v>
      </c>
      <c r="J53" s="71">
        <f>(+I53-F53)/F53</f>
        <v>-0.44418651594670971</v>
      </c>
    </row>
    <row r="54" spans="2:10" s="22" customFormat="1" ht="20.100000000000001" customHeight="1" x14ac:dyDescent="0.2">
      <c r="B54" s="66" t="s">
        <v>116</v>
      </c>
      <c r="C54" s="66" t="s">
        <v>94</v>
      </c>
      <c r="D54" s="67">
        <v>320</v>
      </c>
      <c r="E54" s="67">
        <v>36330</v>
      </c>
      <c r="F54" s="67">
        <v>327</v>
      </c>
      <c r="G54" s="68">
        <v>20</v>
      </c>
      <c r="H54" s="69">
        <v>2280</v>
      </c>
      <c r="I54" s="69">
        <v>21</v>
      </c>
      <c r="J54" s="71">
        <f>(+I54-F54)/F54</f>
        <v>-0.93577981651376152</v>
      </c>
    </row>
    <row r="55" spans="2:10" s="22" customFormat="1" ht="20.100000000000001" customHeight="1" x14ac:dyDescent="0.2">
      <c r="B55" s="66" t="s">
        <v>117</v>
      </c>
      <c r="C55" s="66" t="s">
        <v>93</v>
      </c>
      <c r="D55" s="67">
        <v>0</v>
      </c>
      <c r="E55" s="67">
        <v>0</v>
      </c>
      <c r="F55" s="67">
        <v>0</v>
      </c>
      <c r="G55" s="68">
        <v>66</v>
      </c>
      <c r="H55" s="69">
        <v>66</v>
      </c>
      <c r="I55" s="69">
        <v>84</v>
      </c>
      <c r="J55" s="71" t="s">
        <v>37</v>
      </c>
    </row>
    <row r="56" spans="2:10" s="22" customFormat="1" ht="20.100000000000001" customHeight="1" x14ac:dyDescent="0.2">
      <c r="B56" s="66" t="s">
        <v>118</v>
      </c>
      <c r="C56" s="66" t="s">
        <v>90</v>
      </c>
      <c r="D56" s="67">
        <v>21</v>
      </c>
      <c r="E56" s="67">
        <v>2205</v>
      </c>
      <c r="F56" s="67">
        <v>22</v>
      </c>
      <c r="G56" s="68">
        <v>21</v>
      </c>
      <c r="H56" s="69">
        <v>2205</v>
      </c>
      <c r="I56" s="69">
        <v>22</v>
      </c>
      <c r="J56" s="71">
        <f>(+I56-F56)/F56</f>
        <v>0</v>
      </c>
    </row>
    <row r="57" spans="2:10" s="22" customFormat="1" ht="20.100000000000001" customHeight="1" x14ac:dyDescent="0.2">
      <c r="B57" s="66" t="s">
        <v>119</v>
      </c>
      <c r="C57" s="66" t="s">
        <v>122</v>
      </c>
      <c r="D57" s="67">
        <v>0</v>
      </c>
      <c r="E57" s="67">
        <v>0</v>
      </c>
      <c r="F57" s="67">
        <v>0</v>
      </c>
      <c r="G57" s="68">
        <v>601</v>
      </c>
      <c r="H57" s="69">
        <v>601</v>
      </c>
      <c r="I57" s="69">
        <v>970</v>
      </c>
      <c r="J57" s="71" t="s">
        <v>37</v>
      </c>
    </row>
    <row r="58" spans="2:10" s="22" customFormat="1" ht="20.100000000000001" customHeight="1" x14ac:dyDescent="0.2">
      <c r="B58" s="66" t="s">
        <v>119</v>
      </c>
      <c r="C58" s="66" t="s">
        <v>123</v>
      </c>
      <c r="D58" s="67">
        <v>0</v>
      </c>
      <c r="E58" s="67">
        <v>0</v>
      </c>
      <c r="F58" s="67">
        <v>0</v>
      </c>
      <c r="G58" s="68">
        <v>809</v>
      </c>
      <c r="H58" s="69">
        <v>817</v>
      </c>
      <c r="I58" s="69">
        <v>1308</v>
      </c>
      <c r="J58" s="71" t="s">
        <v>37</v>
      </c>
    </row>
    <row r="59" spans="2:10" s="22" customFormat="1" ht="20.100000000000001" customHeight="1" x14ac:dyDescent="0.2">
      <c r="B59" s="66" t="s">
        <v>119</v>
      </c>
      <c r="C59" s="66" t="s">
        <v>90</v>
      </c>
      <c r="D59" s="67">
        <v>3837</v>
      </c>
      <c r="E59" s="67">
        <v>265585</v>
      </c>
      <c r="F59" s="67">
        <v>4663</v>
      </c>
      <c r="G59" s="68">
        <v>5277</v>
      </c>
      <c r="H59" s="69">
        <v>342450</v>
      </c>
      <c r="I59" s="69">
        <v>6185</v>
      </c>
      <c r="J59" s="71">
        <f>(+I59-F59)/F59</f>
        <v>0.3263993137465151</v>
      </c>
    </row>
    <row r="60" spans="2:10" s="22" customFormat="1" ht="20.100000000000001" customHeight="1" x14ac:dyDescent="0.2">
      <c r="B60" s="58"/>
      <c r="C60" s="45" t="s">
        <v>19</v>
      </c>
      <c r="D60" s="45">
        <f>SUM(D16:D59)</f>
        <v>26882</v>
      </c>
      <c r="E60" s="45">
        <f>SUM(E16:E59)</f>
        <v>2139420</v>
      </c>
      <c r="F60" s="47">
        <f>SUM(F16:F59)</f>
        <v>32426</v>
      </c>
      <c r="G60" s="53">
        <f>SUM(G16:G59)</f>
        <v>22072</v>
      </c>
      <c r="H60" s="54">
        <f>SUM(H16:H59)</f>
        <v>1354871</v>
      </c>
      <c r="I60" s="54">
        <f>SUM(I16:I59)</f>
        <v>26936</v>
      </c>
      <c r="J60" s="81">
        <f>+(I60-F60)/F60</f>
        <v>-0.16930857953494111</v>
      </c>
    </row>
    <row r="61" spans="2:10" s="22" customFormat="1" ht="16.5" customHeight="1" x14ac:dyDescent="0.2">
      <c r="B61" s="55"/>
      <c r="C61" s="55"/>
      <c r="D61" s="55"/>
      <c r="E61" s="55"/>
      <c r="F61" s="55"/>
      <c r="G61" s="55"/>
      <c r="H61" s="57" t="s">
        <v>16</v>
      </c>
      <c r="I61" s="57"/>
      <c r="J61" s="56">
        <f>+(G60-D60)/D60</f>
        <v>-0.17893013912655309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21:J55 J57:J58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2025-03-04T16:10:48Z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